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071추일입" sheetId="26" state="hidden" r:id="rId14"/>
    <sheet name="071추일출" sheetId="27" state="hidden" r:id="rId15"/>
    <sheet name="Sheet1 (3)" sheetId="25" state="hidden" r:id="rId16"/>
  </sheets>
  <externalReferences>
    <externalReference r:id="rId17"/>
  </externalReferences>
  <definedNames>
    <definedName name="_xlnm._FilterDatabase" localSheetId="13" hidden="1">'071추일입'!$A$6:$AS$6</definedName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'1추일출'!$A$6:$AS$114</definedName>
    <definedName name="_xlnm._FilterDatabase" localSheetId="8" hidden="1">'1추특입'!$A$6:$AS$16</definedName>
    <definedName name="_xlnm._FilterDatabase" localSheetId="9" hidden="1">'1추특출'!$A$6:$AP$26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3">'071추일입'!$A:$T</definedName>
    <definedName name="_xlnm.Print_Area" localSheetId="14">'071추일출'!$A$1:$V$18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'1추일입'!$A$1:$T$40</definedName>
    <definedName name="_xlnm.Print_Area" localSheetId="7">'1추일출'!$A$1:$V$112</definedName>
    <definedName name="_xlnm.Print_Area" localSheetId="8">'1추특입'!$A:$T</definedName>
    <definedName name="_xlnm.Print_Area" localSheetId="9">'1추특출'!$A$1:$V$26</definedName>
    <definedName name="_xlnm.Print_Area" localSheetId="12">계속비!$B$1:$N$23</definedName>
    <definedName name="_xlnm.Print_Area" localSheetId="5">총괄표!$A$1:$I$26</definedName>
    <definedName name="_xlnm.Print_Titles" localSheetId="13">'071추일입'!$4:$5</definedName>
    <definedName name="_xlnm.Print_Titles" localSheetId="14">'071추일출'!$3:$5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G56" i="15" l="1"/>
  <c r="AF56" i="15"/>
  <c r="AN56" i="15" a="1"/>
  <c r="AN56" i="15" s="1"/>
  <c r="Z56" i="15"/>
  <c r="AB56" i="15" s="1"/>
  <c r="AA56" i="15"/>
  <c r="AE56" i="15"/>
  <c r="AL56" i="15"/>
  <c r="Z53" i="15"/>
  <c r="AA53" i="15"/>
  <c r="AE53" i="15"/>
  <c r="AF53" i="15" s="1"/>
  <c r="AG53" i="15" s="1"/>
  <c r="AI53" i="15"/>
  <c r="AK53" i="15"/>
  <c r="AL53" i="15"/>
  <c r="AN53" i="15" a="1"/>
  <c r="AN53" i="15" s="1"/>
  <c r="S56" i="15"/>
  <c r="AB53" i="15" l="1"/>
  <c r="AI56" i="15"/>
  <c r="K53" i="15"/>
  <c r="N53" i="15"/>
  <c r="R53" i="15"/>
  <c r="K56" i="15"/>
  <c r="N56" i="15"/>
  <c r="O56" i="15" s="1"/>
  <c r="S53" i="15" l="1"/>
  <c r="O53" i="15"/>
  <c r="AN55" i="15" a="1"/>
  <c r="AN55" i="15" s="1"/>
  <c r="AI55" i="15"/>
  <c r="AL55" i="15" s="1"/>
  <c r="AE55" i="15"/>
  <c r="AF55" i="15" s="1"/>
  <c r="Z55" i="15"/>
  <c r="R55" i="15"/>
  <c r="N55" i="15"/>
  <c r="K55" i="15"/>
  <c r="AN54" i="15" a="1"/>
  <c r="AN54" i="15" s="1"/>
  <c r="AI54" i="15"/>
  <c r="AL54" i="15" s="1"/>
  <c r="AE54" i="15"/>
  <c r="AF54" i="15" s="1"/>
  <c r="AG54" i="15" s="1"/>
  <c r="Z54" i="15"/>
  <c r="AA54" i="15" s="1"/>
  <c r="R54" i="15"/>
  <c r="N54" i="15"/>
  <c r="K54" i="15"/>
  <c r="R18" i="27"/>
  <c r="L18" i="27"/>
  <c r="O18" i="27" s="1"/>
  <c r="R17" i="27"/>
  <c r="L17" i="27"/>
  <c r="O17" i="27" s="1"/>
  <c r="S17" i="27" s="1"/>
  <c r="R16" i="27"/>
  <c r="L16" i="27"/>
  <c r="O16" i="27" s="1"/>
  <c r="R15" i="27"/>
  <c r="L15" i="27"/>
  <c r="O15" i="27" s="1"/>
  <c r="S15" i="27" s="1"/>
  <c r="R14" i="27"/>
  <c r="L14" i="27"/>
  <c r="O14" i="27" s="1"/>
  <c r="R13" i="27"/>
  <c r="L13" i="27"/>
  <c r="O13" i="27" s="1"/>
  <c r="S13" i="27" s="1"/>
  <c r="R12" i="27"/>
  <c r="L12" i="27"/>
  <c r="O12" i="27" s="1"/>
  <c r="R11" i="27"/>
  <c r="L11" i="27"/>
  <c r="O11" i="27" s="1"/>
  <c r="S11" i="27" s="1"/>
  <c r="R10" i="27"/>
  <c r="L10" i="27"/>
  <c r="O10" i="27" s="1"/>
  <c r="R9" i="27"/>
  <c r="L9" i="27"/>
  <c r="O9" i="27" s="1"/>
  <c r="S9" i="27" s="1"/>
  <c r="R8" i="27"/>
  <c r="L8" i="27"/>
  <c r="O8" i="27" s="1"/>
  <c r="AN7" i="27" a="1"/>
  <c r="AN7" i="27" s="1"/>
  <c r="AL7" i="27"/>
  <c r="AI7" i="27"/>
  <c r="AK7" i="27" s="1"/>
  <c r="AG7" i="27"/>
  <c r="AF7" i="27"/>
  <c r="AE7" i="27"/>
  <c r="AA7" i="27"/>
  <c r="Z7" i="27"/>
  <c r="O7" i="27"/>
  <c r="S7" i="27" s="1"/>
  <c r="L7" i="27"/>
  <c r="R7" i="27" s="1"/>
  <c r="AN6" i="27" a="1"/>
  <c r="AN6" i="27" s="1"/>
  <c r="AL6" i="27"/>
  <c r="AK6" i="27"/>
  <c r="AI6" i="27"/>
  <c r="Z6" i="27"/>
  <c r="Q6" i="27"/>
  <c r="P6" i="27"/>
  <c r="O6" i="27"/>
  <c r="O3" i="27" s="1"/>
  <c r="N6" i="27"/>
  <c r="M6" i="27"/>
  <c r="AA6" i="27" s="1"/>
  <c r="L6" i="27"/>
  <c r="K6" i="27"/>
  <c r="J6" i="27"/>
  <c r="AF3" i="27"/>
  <c r="AA3" i="27"/>
  <c r="Q3" i="27"/>
  <c r="P3" i="27"/>
  <c r="N3" i="27"/>
  <c r="M3" i="27"/>
  <c r="L3" i="27"/>
  <c r="R2" i="27"/>
  <c r="AI72" i="26" a="1"/>
  <c r="AI72" i="26" s="1"/>
  <c r="AG72" i="26" s="1"/>
  <c r="AC72" i="26"/>
  <c r="Y72" i="26"/>
  <c r="Z72" i="26" s="1"/>
  <c r="X72" i="26"/>
  <c r="Q72" i="26"/>
  <c r="P72" i="26"/>
  <c r="M72" i="26"/>
  <c r="J72" i="26"/>
  <c r="AI71" i="26" a="1"/>
  <c r="AI71" i="26" s="1"/>
  <c r="AG71" i="26" s="1"/>
  <c r="AD71" i="26"/>
  <c r="AE71" i="26" s="1"/>
  <c r="AC71" i="26"/>
  <c r="X71" i="26"/>
  <c r="P71" i="26"/>
  <c r="J71" i="26"/>
  <c r="M71" i="26" s="1"/>
  <c r="Q71" i="26" s="1"/>
  <c r="AI70" i="26" a="1"/>
  <c r="AI70" i="26" s="1"/>
  <c r="AG70" i="26" s="1"/>
  <c r="AM70" i="26" s="1"/>
  <c r="AC70" i="26"/>
  <c r="Y70" i="26"/>
  <c r="X70" i="26"/>
  <c r="M70" i="26"/>
  <c r="Q70" i="26" s="1"/>
  <c r="J70" i="26"/>
  <c r="P70" i="26" s="1"/>
  <c r="AI69" i="26" a="1"/>
  <c r="AI69" i="26" s="1"/>
  <c r="AG69" i="26" s="1"/>
  <c r="AQ69" i="26" s="1"/>
  <c r="AD69" i="26"/>
  <c r="AC69" i="26"/>
  <c r="AE69" i="26" s="1"/>
  <c r="X69" i="26"/>
  <c r="J69" i="26"/>
  <c r="AI68" i="26" a="1"/>
  <c r="AI68" i="26" s="1"/>
  <c r="AG68" i="26" s="1"/>
  <c r="AC68" i="26"/>
  <c r="Y68" i="26"/>
  <c r="Z68" i="26" s="1"/>
  <c r="X68" i="26"/>
  <c r="Q68" i="26"/>
  <c r="P68" i="26"/>
  <c r="M68" i="26"/>
  <c r="J68" i="26"/>
  <c r="AI67" i="26" a="1"/>
  <c r="AI67" i="26" s="1"/>
  <c r="AG67" i="26" s="1"/>
  <c r="AD67" i="26"/>
  <c r="AE67" i="26" s="1"/>
  <c r="AC67" i="26"/>
  <c r="X67" i="26"/>
  <c r="P67" i="26"/>
  <c r="J67" i="26"/>
  <c r="M67" i="26" s="1"/>
  <c r="Q67" i="26" s="1"/>
  <c r="AI66" i="26" a="1"/>
  <c r="AI66" i="26" s="1"/>
  <c r="AG66" i="26" s="1"/>
  <c r="AM66" i="26" s="1"/>
  <c r="AO66" i="26" s="1"/>
  <c r="AC66" i="26"/>
  <c r="Y66" i="26"/>
  <c r="X66" i="26"/>
  <c r="M66" i="26"/>
  <c r="Q66" i="26" s="1"/>
  <c r="J66" i="26"/>
  <c r="P66" i="26" s="1"/>
  <c r="AI65" i="26" a="1"/>
  <c r="AI65" i="26" s="1"/>
  <c r="AG65" i="26" s="1"/>
  <c r="AQ65" i="26" s="1"/>
  <c r="AS65" i="26" s="1"/>
  <c r="AD65" i="26"/>
  <c r="AC65" i="26"/>
  <c r="AE65" i="26" s="1"/>
  <c r="X65" i="26"/>
  <c r="J65" i="26"/>
  <c r="AI64" i="26" a="1"/>
  <c r="AI64" i="26" s="1"/>
  <c r="AG64" i="26" s="1"/>
  <c r="AC64" i="26"/>
  <c r="Y64" i="26"/>
  <c r="Z64" i="26" s="1"/>
  <c r="X64" i="26"/>
  <c r="Q64" i="26"/>
  <c r="P64" i="26"/>
  <c r="M64" i="26"/>
  <c r="J64" i="26"/>
  <c r="AI63" i="26" a="1"/>
  <c r="AI63" i="26" s="1"/>
  <c r="AG63" i="26" s="1"/>
  <c r="AD63" i="26"/>
  <c r="AE63" i="26" s="1"/>
  <c r="AC63" i="26"/>
  <c r="X63" i="26"/>
  <c r="P63" i="26"/>
  <c r="J63" i="26"/>
  <c r="M63" i="26" s="1"/>
  <c r="Q63" i="26" s="1"/>
  <c r="AI62" i="26" a="1"/>
  <c r="AI62" i="26" s="1"/>
  <c r="AG62" i="26" s="1"/>
  <c r="AM62" i="26" s="1"/>
  <c r="AO62" i="26" s="1"/>
  <c r="AC62" i="26"/>
  <c r="Y62" i="26"/>
  <c r="X62" i="26"/>
  <c r="M62" i="26"/>
  <c r="Q62" i="26" s="1"/>
  <c r="J62" i="26"/>
  <c r="P62" i="26" s="1"/>
  <c r="AI61" i="26" a="1"/>
  <c r="AI61" i="26" s="1"/>
  <c r="AG61" i="26" s="1"/>
  <c r="AQ61" i="26" s="1"/>
  <c r="AS61" i="26" s="1"/>
  <c r="AD61" i="26"/>
  <c r="AC61" i="26"/>
  <c r="AE61" i="26" s="1"/>
  <c r="X61" i="26"/>
  <c r="J61" i="26"/>
  <c r="AI60" i="26" a="1"/>
  <c r="AI60" i="26" s="1"/>
  <c r="AG60" i="26" s="1"/>
  <c r="AC60" i="26"/>
  <c r="Y60" i="26"/>
  <c r="Z60" i="26" s="1"/>
  <c r="X60" i="26"/>
  <c r="P60" i="26"/>
  <c r="M60" i="26"/>
  <c r="Q60" i="26" s="1"/>
  <c r="J60" i="26"/>
  <c r="AN59" i="26"/>
  <c r="AI59" i="26"/>
  <c r="AI59" i="26" a="1"/>
  <c r="AG59" i="26"/>
  <c r="AD59" i="26"/>
  <c r="AE59" i="26" s="1"/>
  <c r="AC59" i="26"/>
  <c r="X59" i="26"/>
  <c r="P59" i="26"/>
  <c r="J59" i="26"/>
  <c r="M59" i="26" s="1"/>
  <c r="AI58" i="26" a="1"/>
  <c r="AI58" i="26" s="1"/>
  <c r="AG58" i="26" s="1"/>
  <c r="AR58" i="26" s="1"/>
  <c r="AC58" i="26"/>
  <c r="Y58" i="26"/>
  <c r="X58" i="26"/>
  <c r="Q58" i="26"/>
  <c r="M58" i="26"/>
  <c r="J58" i="26"/>
  <c r="P58" i="26" s="1"/>
  <c r="AI57" i="26" a="1"/>
  <c r="AI57" i="26" s="1"/>
  <c r="AG57" i="26" s="1"/>
  <c r="AD57" i="26"/>
  <c r="AC57" i="26"/>
  <c r="AE57" i="26" s="1"/>
  <c r="X57" i="26"/>
  <c r="J57" i="26"/>
  <c r="AI56" i="26" a="1"/>
  <c r="AI56" i="26" s="1"/>
  <c r="AG56" i="26" s="1"/>
  <c r="AC56" i="26"/>
  <c r="Z56" i="26"/>
  <c r="Y56" i="26"/>
  <c r="X56" i="26"/>
  <c r="P56" i="26"/>
  <c r="Q56" i="26" s="1"/>
  <c r="M56" i="26"/>
  <c r="J56" i="26"/>
  <c r="AI55" i="26" a="1"/>
  <c r="AI55" i="26" s="1"/>
  <c r="AG55" i="26" s="1"/>
  <c r="AN55" i="26" s="1"/>
  <c r="AD55" i="26"/>
  <c r="AE55" i="26" s="1"/>
  <c r="AC55" i="26"/>
  <c r="X55" i="26"/>
  <c r="M55" i="26"/>
  <c r="Q55" i="26" s="1"/>
  <c r="J55" i="26"/>
  <c r="P55" i="26" s="1"/>
  <c r="AI54" i="26" a="1"/>
  <c r="AI54" i="26" s="1"/>
  <c r="AG54" i="26" s="1"/>
  <c r="AR54" i="26" s="1"/>
  <c r="AD54" i="26"/>
  <c r="AE54" i="26" s="1"/>
  <c r="AC54" i="26"/>
  <c r="X54" i="26"/>
  <c r="J54" i="26"/>
  <c r="M54" i="26" s="1"/>
  <c r="AI53" i="26" a="1"/>
  <c r="AI53" i="26" s="1"/>
  <c r="AG53" i="26" s="1"/>
  <c r="AC53" i="26"/>
  <c r="Y53" i="26"/>
  <c r="X53" i="26"/>
  <c r="Z53" i="26" s="1"/>
  <c r="M53" i="26"/>
  <c r="Q53" i="26" s="1"/>
  <c r="J53" i="26"/>
  <c r="P53" i="26" s="1"/>
  <c r="AI52" i="26" a="1"/>
  <c r="AI52" i="26" s="1"/>
  <c r="AG52" i="26" s="1"/>
  <c r="AD52" i="26"/>
  <c r="AC52" i="26"/>
  <c r="X52" i="26"/>
  <c r="P52" i="26"/>
  <c r="J52" i="26"/>
  <c r="M52" i="26" s="1"/>
  <c r="AI51" i="26" a="1"/>
  <c r="AI51" i="26" s="1"/>
  <c r="AG51" i="26" s="1"/>
  <c r="AR51" i="26" s="1"/>
  <c r="AC51" i="26"/>
  <c r="Y51" i="26"/>
  <c r="Z51" i="26" s="1"/>
  <c r="X51" i="26"/>
  <c r="P51" i="26"/>
  <c r="M51" i="26"/>
  <c r="Q51" i="26" s="1"/>
  <c r="J51" i="26"/>
  <c r="AI50" i="26"/>
  <c r="AG50" i="26" s="1"/>
  <c r="AN50" i="26" s="1"/>
  <c r="AI50" i="26" a="1"/>
  <c r="AD50" i="26"/>
  <c r="AE50" i="26" s="1"/>
  <c r="AC50" i="26"/>
  <c r="X50" i="26"/>
  <c r="P50" i="26"/>
  <c r="J50" i="26"/>
  <c r="M50" i="26" s="1"/>
  <c r="AR49" i="26"/>
  <c r="AM49" i="26"/>
  <c r="AO49" i="26" s="1"/>
  <c r="AI49" i="26" a="1"/>
  <c r="AI49" i="26" s="1"/>
  <c r="AG49" i="26" s="1"/>
  <c r="AC49" i="26"/>
  <c r="Y49" i="26"/>
  <c r="X49" i="26"/>
  <c r="M49" i="26"/>
  <c r="J49" i="26"/>
  <c r="P49" i="26" s="1"/>
  <c r="Q49" i="26" s="1"/>
  <c r="AI48" i="26" a="1"/>
  <c r="AI48" i="26" s="1"/>
  <c r="AG48" i="26" s="1"/>
  <c r="AD48" i="26"/>
  <c r="AC48" i="26"/>
  <c r="AE48" i="26" s="1"/>
  <c r="X48" i="26"/>
  <c r="J48" i="26"/>
  <c r="AI47" i="26" a="1"/>
  <c r="AI47" i="26" s="1"/>
  <c r="AG47" i="26" s="1"/>
  <c r="AC47" i="26"/>
  <c r="Y47" i="26"/>
  <c r="Z47" i="26" s="1"/>
  <c r="X47" i="26"/>
  <c r="Q47" i="26"/>
  <c r="P47" i="26"/>
  <c r="M47" i="26"/>
  <c r="J47" i="26"/>
  <c r="AI46" i="26"/>
  <c r="AG46" i="26" s="1"/>
  <c r="AI46" i="26" a="1"/>
  <c r="AD46" i="26"/>
  <c r="AE46" i="26" s="1"/>
  <c r="AC46" i="26"/>
  <c r="X46" i="26"/>
  <c r="J46" i="26"/>
  <c r="AI45" i="26" a="1"/>
  <c r="AI45" i="26" s="1"/>
  <c r="AG45" i="26" s="1"/>
  <c r="AC45" i="26"/>
  <c r="Y45" i="26"/>
  <c r="X45" i="26"/>
  <c r="Z45" i="26" s="1"/>
  <c r="M45" i="26"/>
  <c r="Q45" i="26" s="1"/>
  <c r="J45" i="26"/>
  <c r="P45" i="26" s="1"/>
  <c r="AI44" i="26" a="1"/>
  <c r="AI44" i="26" s="1"/>
  <c r="AG44" i="26" s="1"/>
  <c r="AN44" i="26" s="1"/>
  <c r="AD44" i="26"/>
  <c r="AC44" i="26"/>
  <c r="X44" i="26"/>
  <c r="P44" i="26"/>
  <c r="J44" i="26"/>
  <c r="M44" i="26" s="1"/>
  <c r="AI43" i="26" a="1"/>
  <c r="AI43" i="26" s="1"/>
  <c r="AG43" i="26" s="1"/>
  <c r="AR43" i="26" s="1"/>
  <c r="AC43" i="26"/>
  <c r="Y43" i="26"/>
  <c r="Z43" i="26" s="1"/>
  <c r="X43" i="26"/>
  <c r="Q43" i="26"/>
  <c r="P43" i="26"/>
  <c r="M43" i="26"/>
  <c r="J43" i="26"/>
  <c r="AI42" i="26"/>
  <c r="AG42" i="26" s="1"/>
  <c r="AI42" i="26" a="1"/>
  <c r="AE42" i="26"/>
  <c r="AD42" i="26"/>
  <c r="AC42" i="26"/>
  <c r="Y42" i="26"/>
  <c r="X42" i="26"/>
  <c r="J42" i="26"/>
  <c r="AM41" i="26"/>
  <c r="AI41" i="26" a="1"/>
  <c r="AI41" i="26" s="1"/>
  <c r="AG41" i="26" s="1"/>
  <c r="AD41" i="26"/>
  <c r="AC41" i="26"/>
  <c r="Y41" i="26"/>
  <c r="X41" i="26"/>
  <c r="J41" i="26"/>
  <c r="P41" i="26" s="1"/>
  <c r="AI40" i="26" a="1"/>
  <c r="AI40" i="26" s="1"/>
  <c r="AG40" i="26" s="1"/>
  <c r="AQ40" i="26" s="1"/>
  <c r="AD40" i="26"/>
  <c r="AC40" i="26"/>
  <c r="X40" i="26"/>
  <c r="P40" i="26"/>
  <c r="J40" i="26"/>
  <c r="M40" i="26" s="1"/>
  <c r="AI39" i="26" a="1"/>
  <c r="AI39" i="26" s="1"/>
  <c r="AG39" i="26" s="1"/>
  <c r="AC39" i="26"/>
  <c r="Y39" i="26"/>
  <c r="X39" i="26"/>
  <c r="Z39" i="26" s="1"/>
  <c r="M39" i="26"/>
  <c r="J39" i="26"/>
  <c r="P39" i="26" s="1"/>
  <c r="AI38" i="26" a="1"/>
  <c r="AI38" i="26" s="1"/>
  <c r="AG38" i="26" s="1"/>
  <c r="AD38" i="26"/>
  <c r="AC38" i="26"/>
  <c r="X38" i="26"/>
  <c r="J38" i="26"/>
  <c r="AI37" i="26" a="1"/>
  <c r="AI37" i="26" s="1"/>
  <c r="AG37" i="26" s="1"/>
  <c r="AC37" i="26"/>
  <c r="Y37" i="26"/>
  <c r="Z37" i="26" s="1"/>
  <c r="X37" i="26"/>
  <c r="Q37" i="26"/>
  <c r="P37" i="26"/>
  <c r="M37" i="26"/>
  <c r="J37" i="26"/>
  <c r="AI36" i="26" a="1"/>
  <c r="AI36" i="26" s="1"/>
  <c r="AG36" i="26" s="1"/>
  <c r="AN36" i="26" s="1"/>
  <c r="AD36" i="26"/>
  <c r="AE36" i="26" s="1"/>
  <c r="AC36" i="26"/>
  <c r="X36" i="26"/>
  <c r="P36" i="26"/>
  <c r="J36" i="26"/>
  <c r="M36" i="26" s="1"/>
  <c r="AI35" i="26" a="1"/>
  <c r="AI35" i="26" s="1"/>
  <c r="AG35" i="26" s="1"/>
  <c r="AC35" i="26"/>
  <c r="Y35" i="26"/>
  <c r="X35" i="26"/>
  <c r="Z35" i="26" s="1"/>
  <c r="M35" i="26"/>
  <c r="J35" i="26"/>
  <c r="P35" i="26" s="1"/>
  <c r="AI34" i="26"/>
  <c r="AG34" i="26" s="1"/>
  <c r="AI34" i="26" a="1"/>
  <c r="AD34" i="26"/>
  <c r="AC34" i="26"/>
  <c r="AE34" i="26" s="1"/>
  <c r="X34" i="26"/>
  <c r="J34" i="26"/>
  <c r="AI33" i="26" a="1"/>
  <c r="AI33" i="26" s="1"/>
  <c r="AG33" i="26" s="1"/>
  <c r="AC33" i="26"/>
  <c r="Y33" i="26"/>
  <c r="Z33" i="26" s="1"/>
  <c r="X33" i="26"/>
  <c r="Q33" i="26"/>
  <c r="P33" i="26"/>
  <c r="M33" i="26"/>
  <c r="J33" i="26"/>
  <c r="AI32" i="26" a="1"/>
  <c r="AI32" i="26" s="1"/>
  <c r="AG32" i="26" s="1"/>
  <c r="AN32" i="26" s="1"/>
  <c r="AD32" i="26"/>
  <c r="AE32" i="26" s="1"/>
  <c r="AC32" i="26"/>
  <c r="X32" i="26"/>
  <c r="P32" i="26"/>
  <c r="J32" i="26"/>
  <c r="M32" i="26" s="1"/>
  <c r="AI31" i="26" a="1"/>
  <c r="AI31" i="26" s="1"/>
  <c r="AG31" i="26" s="1"/>
  <c r="AC31" i="26"/>
  <c r="Y31" i="26"/>
  <c r="X31" i="26"/>
  <c r="Z31" i="26" s="1"/>
  <c r="M31" i="26"/>
  <c r="J31" i="26"/>
  <c r="P31" i="26" s="1"/>
  <c r="AI30" i="26"/>
  <c r="AG30" i="26" s="1"/>
  <c r="AI30" i="26" a="1"/>
  <c r="AD30" i="26"/>
  <c r="AC30" i="26"/>
  <c r="AE30" i="26" s="1"/>
  <c r="X30" i="26"/>
  <c r="J30" i="26"/>
  <c r="AI29" i="26" a="1"/>
  <c r="AI29" i="26" s="1"/>
  <c r="AG29" i="26" s="1"/>
  <c r="AC29" i="26"/>
  <c r="Y29" i="26"/>
  <c r="Z29" i="26" s="1"/>
  <c r="X29" i="26"/>
  <c r="Q29" i="26"/>
  <c r="P29" i="26"/>
  <c r="M29" i="26"/>
  <c r="J29" i="26"/>
  <c r="AI28" i="26" a="1"/>
  <c r="AI28" i="26" s="1"/>
  <c r="AG28" i="26" s="1"/>
  <c r="AD28" i="26"/>
  <c r="AE28" i="26" s="1"/>
  <c r="AC28" i="26"/>
  <c r="X28" i="26"/>
  <c r="J28" i="26"/>
  <c r="M28" i="26" s="1"/>
  <c r="AI27" i="26" a="1"/>
  <c r="AI27" i="26" s="1"/>
  <c r="AG27" i="26" s="1"/>
  <c r="AR27" i="26" s="1"/>
  <c r="AC27" i="26"/>
  <c r="X27" i="26"/>
  <c r="M27" i="26"/>
  <c r="Q27" i="26" s="1"/>
  <c r="J27" i="26"/>
  <c r="P27" i="26" s="1"/>
  <c r="AI26" i="26" a="1"/>
  <c r="AI26" i="26" s="1"/>
  <c r="AG26" i="26" s="1"/>
  <c r="AC26" i="26"/>
  <c r="X26" i="26"/>
  <c r="J26" i="26"/>
  <c r="M26" i="26" s="1"/>
  <c r="AI25" i="26" a="1"/>
  <c r="AI25" i="26" s="1"/>
  <c r="AG25" i="26" s="1"/>
  <c r="AC25" i="26"/>
  <c r="Y25" i="26"/>
  <c r="Z25" i="26" s="1"/>
  <c r="X25" i="26"/>
  <c r="Q25" i="26"/>
  <c r="P25" i="26"/>
  <c r="M25" i="26"/>
  <c r="J25" i="26"/>
  <c r="AI24" i="26" a="1"/>
  <c r="AI24" i="26" s="1"/>
  <c r="AG24" i="26" s="1"/>
  <c r="AE24" i="26"/>
  <c r="AD24" i="26"/>
  <c r="AC24" i="26"/>
  <c r="Y24" i="26"/>
  <c r="Z24" i="26" s="1"/>
  <c r="X24" i="26"/>
  <c r="J24" i="26"/>
  <c r="AI23" i="26" a="1"/>
  <c r="AI23" i="26" s="1"/>
  <c r="AG23" i="26" s="1"/>
  <c r="AD23" i="26"/>
  <c r="AE23" i="26" s="1"/>
  <c r="AC23" i="26"/>
  <c r="X23" i="26"/>
  <c r="Y23" i="26" s="1"/>
  <c r="J23" i="26"/>
  <c r="P23" i="26" s="1"/>
  <c r="AQ22" i="26"/>
  <c r="AI22" i="26" a="1"/>
  <c r="AI22" i="26" s="1"/>
  <c r="AG22" i="26" s="1"/>
  <c r="AC22" i="26"/>
  <c r="AD22" i="26" s="1"/>
  <c r="Z22" i="26"/>
  <c r="X22" i="26"/>
  <c r="Y22" i="26" s="1"/>
  <c r="J22" i="26"/>
  <c r="AI21" i="26" a="1"/>
  <c r="AI21" i="26" s="1"/>
  <c r="AG21" i="26"/>
  <c r="AQ21" i="26" s="1"/>
  <c r="AE21" i="26"/>
  <c r="AC21" i="26"/>
  <c r="AD21" i="26" s="1"/>
  <c r="Y21" i="26"/>
  <c r="Z21" i="26" s="1"/>
  <c r="X21" i="26"/>
  <c r="P21" i="26"/>
  <c r="M21" i="26"/>
  <c r="Q21" i="26" s="1"/>
  <c r="J21" i="26"/>
  <c r="AI20" i="26" a="1"/>
  <c r="AI20" i="26" s="1"/>
  <c r="AG20" i="26" s="1"/>
  <c r="AN20" i="26" s="1"/>
  <c r="AC20" i="26"/>
  <c r="X20" i="26"/>
  <c r="P20" i="26"/>
  <c r="J20" i="26"/>
  <c r="M20" i="26" s="1"/>
  <c r="AI19" i="26" a="1"/>
  <c r="AI19" i="26" s="1"/>
  <c r="AG19" i="26" s="1"/>
  <c r="AR19" i="26" s="1"/>
  <c r="AC19" i="26"/>
  <c r="AD19" i="26" s="1"/>
  <c r="AE19" i="26" s="1"/>
  <c r="Y19" i="26"/>
  <c r="Z19" i="26" s="1"/>
  <c r="X19" i="26"/>
  <c r="P19" i="26"/>
  <c r="M19" i="26"/>
  <c r="Q19" i="26" s="1"/>
  <c r="J19" i="26"/>
  <c r="AI18" i="26"/>
  <c r="AG18" i="26" s="1"/>
  <c r="AQ18" i="26" s="1"/>
  <c r="AS18" i="26" s="1"/>
  <c r="AI18" i="26" a="1"/>
  <c r="AD18" i="26"/>
  <c r="AE18" i="26" s="1"/>
  <c r="AC18" i="26"/>
  <c r="X18" i="26"/>
  <c r="J18" i="26"/>
  <c r="AI17" i="26" a="1"/>
  <c r="AI17" i="26" s="1"/>
  <c r="AG17" i="26" s="1"/>
  <c r="AC17" i="26"/>
  <c r="X17" i="26"/>
  <c r="J17" i="26"/>
  <c r="P17" i="26" s="1"/>
  <c r="AI16" i="26" a="1"/>
  <c r="AI16" i="26" s="1"/>
  <c r="AG16" i="26"/>
  <c r="AN16" i="26" s="1"/>
  <c r="AC16" i="26"/>
  <c r="Z16" i="26"/>
  <c r="X16" i="26"/>
  <c r="Y16" i="26" s="1"/>
  <c r="P16" i="26"/>
  <c r="J16" i="26"/>
  <c r="M16" i="26" s="1"/>
  <c r="AI15" i="26" a="1"/>
  <c r="AI15" i="26" s="1"/>
  <c r="AG15" i="26" s="1"/>
  <c r="AR15" i="26" s="1"/>
  <c r="AC15" i="26"/>
  <c r="AD15" i="26" s="1"/>
  <c r="AE15" i="26" s="1"/>
  <c r="Y15" i="26"/>
  <c r="Z15" i="26" s="1"/>
  <c r="X15" i="26"/>
  <c r="P15" i="26"/>
  <c r="M15" i="26"/>
  <c r="Q15" i="26" s="1"/>
  <c r="J15" i="26"/>
  <c r="AI14" i="26" a="1"/>
  <c r="AI14" i="26" s="1"/>
  <c r="AG14" i="26" s="1"/>
  <c r="AQ14" i="26" s="1"/>
  <c r="AS14" i="26" s="1"/>
  <c r="AD14" i="26"/>
  <c r="AE14" i="26" s="1"/>
  <c r="AC14" i="26"/>
  <c r="X14" i="26"/>
  <c r="J14" i="26"/>
  <c r="AI13" i="26" a="1"/>
  <c r="AI13" i="26" s="1"/>
  <c r="AG13" i="26" s="1"/>
  <c r="AC13" i="26"/>
  <c r="X13" i="26"/>
  <c r="J13" i="26"/>
  <c r="P13" i="26" s="1"/>
  <c r="AI12" i="26" a="1"/>
  <c r="AI12" i="26" s="1"/>
  <c r="AG12" i="26"/>
  <c r="AN12" i="26" s="1"/>
  <c r="AC12" i="26"/>
  <c r="Z12" i="26"/>
  <c r="X12" i="26"/>
  <c r="Y12" i="26" s="1"/>
  <c r="P12" i="26"/>
  <c r="J12" i="26"/>
  <c r="M12" i="26" s="1"/>
  <c r="AR11" i="26"/>
  <c r="AI11" i="26" a="1"/>
  <c r="AI11" i="26" s="1"/>
  <c r="AG11" i="26" s="1"/>
  <c r="AC11" i="26"/>
  <c r="AD11" i="26" s="1"/>
  <c r="AE11" i="26" s="1"/>
  <c r="Y11" i="26"/>
  <c r="Z11" i="26" s="1"/>
  <c r="X11" i="26"/>
  <c r="P11" i="26"/>
  <c r="M11" i="26"/>
  <c r="Q11" i="26" s="1"/>
  <c r="J11" i="26"/>
  <c r="AI10" i="26" a="1"/>
  <c r="AI10" i="26" s="1"/>
  <c r="AG10" i="26" s="1"/>
  <c r="AQ10" i="26" s="1"/>
  <c r="AS10" i="26" s="1"/>
  <c r="AD10" i="26"/>
  <c r="AE10" i="26" s="1"/>
  <c r="AC10" i="26"/>
  <c r="X10" i="26"/>
  <c r="J10" i="26"/>
  <c r="AI9" i="26" a="1"/>
  <c r="AI9" i="26" s="1"/>
  <c r="AG9" i="26" s="1"/>
  <c r="AC9" i="26"/>
  <c r="X9" i="26"/>
  <c r="J9" i="26"/>
  <c r="P9" i="26" s="1"/>
  <c r="AI8" i="26" a="1"/>
  <c r="AI8" i="26" s="1"/>
  <c r="AG8" i="26" s="1"/>
  <c r="AN8" i="26" s="1"/>
  <c r="AC8" i="26"/>
  <c r="Z8" i="26"/>
  <c r="X8" i="26"/>
  <c r="Y8" i="26" s="1"/>
  <c r="P8" i="26"/>
  <c r="J8" i="26"/>
  <c r="M8" i="26" s="1"/>
  <c r="Q8" i="26" s="1"/>
  <c r="AI7" i="26" a="1"/>
  <c r="AI7" i="26" s="1"/>
  <c r="AG7" i="26" s="1"/>
  <c r="AR7" i="26" s="1"/>
  <c r="AC7" i="26"/>
  <c r="AD7" i="26" s="1"/>
  <c r="Y7" i="26"/>
  <c r="Z7" i="26" s="1"/>
  <c r="X7" i="26"/>
  <c r="P7" i="26"/>
  <c r="M7" i="26"/>
  <c r="J7" i="26"/>
  <c r="O6" i="26"/>
  <c r="N6" i="26"/>
  <c r="L6" i="26"/>
  <c r="K6" i="26"/>
  <c r="I6" i="26"/>
  <c r="H6" i="26"/>
  <c r="AN24" i="26" l="1"/>
  <c r="AM24" i="26"/>
  <c r="AQ25" i="26"/>
  <c r="AS25" i="26" s="1"/>
  <c r="AN25" i="26"/>
  <c r="AM25" i="26"/>
  <c r="AO25" i="26" s="1"/>
  <c r="AM43" i="26"/>
  <c r="AO43" i="26" s="1"/>
  <c r="AM51" i="26"/>
  <c r="AO51" i="26" s="1"/>
  <c r="AN21" i="26"/>
  <c r="AM58" i="26"/>
  <c r="AO58" i="26" s="1"/>
  <c r="AS53" i="15"/>
  <c r="AR53" i="15"/>
  <c r="O55" i="15"/>
  <c r="AR55" i="15" s="1"/>
  <c r="AA55" i="15"/>
  <c r="AB55" i="15" s="1"/>
  <c r="S55" i="15"/>
  <c r="O54" i="15"/>
  <c r="AR54" i="15" s="1"/>
  <c r="AB54" i="15"/>
  <c r="AG55" i="15"/>
  <c r="S54" i="15"/>
  <c r="Q7" i="26"/>
  <c r="M18" i="26"/>
  <c r="Q18" i="26" s="1"/>
  <c r="P18" i="26"/>
  <c r="AN7" i="26"/>
  <c r="AQ7" i="26"/>
  <c r="AR8" i="26"/>
  <c r="AM8" i="26"/>
  <c r="AO8" i="26" s="1"/>
  <c r="AQ8" i="26"/>
  <c r="AS8" i="26" s="1"/>
  <c r="AN11" i="26"/>
  <c r="AQ11" i="26"/>
  <c r="AS11" i="26" s="1"/>
  <c r="AR16" i="26"/>
  <c r="AM16" i="26"/>
  <c r="AO16" i="26" s="1"/>
  <c r="AQ16" i="26"/>
  <c r="AS16" i="26" s="1"/>
  <c r="AN23" i="26"/>
  <c r="AR23" i="26"/>
  <c r="AQ23" i="26"/>
  <c r="AS23" i="26" s="1"/>
  <c r="AR26" i="26"/>
  <c r="AM26" i="26"/>
  <c r="AO26" i="26" s="1"/>
  <c r="AQ26" i="26"/>
  <c r="AN26" i="26"/>
  <c r="AD29" i="26"/>
  <c r="AE29" i="26"/>
  <c r="Y34" i="26"/>
  <c r="Z34" i="26" s="1"/>
  <c r="AR34" i="26"/>
  <c r="AM34" i="26"/>
  <c r="AO34" i="26" s="1"/>
  <c r="AN34" i="26"/>
  <c r="AQ34" i="26"/>
  <c r="AS34" i="26" s="1"/>
  <c r="AN45" i="26"/>
  <c r="AQ45" i="26"/>
  <c r="AS45" i="26" s="1"/>
  <c r="AM45" i="26"/>
  <c r="AO45" i="26" s="1"/>
  <c r="AR45" i="26"/>
  <c r="AR48" i="26"/>
  <c r="AM48" i="26"/>
  <c r="AO48" i="26" s="1"/>
  <c r="AN48" i="26"/>
  <c r="AQ48" i="26"/>
  <c r="AS48" i="26" s="1"/>
  <c r="AR52" i="26"/>
  <c r="AM52" i="26"/>
  <c r="AO52" i="26" s="1"/>
  <c r="AQ52" i="26"/>
  <c r="AS52" i="26" s="1"/>
  <c r="AN52" i="26"/>
  <c r="M10" i="26"/>
  <c r="P10" i="26"/>
  <c r="AS27" i="26"/>
  <c r="AD27" i="26"/>
  <c r="AE27" i="26"/>
  <c r="AR28" i="26"/>
  <c r="AM28" i="26"/>
  <c r="AO28" i="26" s="1"/>
  <c r="AN28" i="26"/>
  <c r="AD37" i="26"/>
  <c r="AE37" i="26"/>
  <c r="AE7" i="26"/>
  <c r="AQ9" i="26"/>
  <c r="AN9" i="26"/>
  <c r="AR9" i="26"/>
  <c r="AM9" i="26"/>
  <c r="AO9" i="26" s="1"/>
  <c r="AR12" i="26"/>
  <c r="AM12" i="26"/>
  <c r="AO12" i="26" s="1"/>
  <c r="AQ12" i="26"/>
  <c r="AS12" i="26" s="1"/>
  <c r="AQ13" i="26"/>
  <c r="AN13" i="26"/>
  <c r="AR13" i="26"/>
  <c r="AM13" i="26"/>
  <c r="AO13" i="26" s="1"/>
  <c r="AN15" i="26"/>
  <c r="AQ15" i="26"/>
  <c r="AS15" i="26" s="1"/>
  <c r="AQ17" i="26"/>
  <c r="AS17" i="26" s="1"/>
  <c r="AN17" i="26"/>
  <c r="AR17" i="26"/>
  <c r="AM17" i="26"/>
  <c r="AO17" i="26" s="1"/>
  <c r="AN19" i="26"/>
  <c r="AQ19" i="26"/>
  <c r="AS19" i="26" s="1"/>
  <c r="AQ20" i="26"/>
  <c r="AS20" i="26" s="1"/>
  <c r="AM20" i="26"/>
  <c r="AR20" i="26"/>
  <c r="J6" i="26"/>
  <c r="AM7" i="26"/>
  <c r="AM11" i="26"/>
  <c r="AO11" i="26" s="1"/>
  <c r="AM15" i="26"/>
  <c r="AO15" i="26" s="1"/>
  <c r="AM19" i="26"/>
  <c r="AO19" i="26" s="1"/>
  <c r="M22" i="26"/>
  <c r="Q22" i="26" s="1"/>
  <c r="P22" i="26"/>
  <c r="AR22" i="26"/>
  <c r="AM22" i="26"/>
  <c r="AN22" i="26"/>
  <c r="AM23" i="26"/>
  <c r="Q26" i="26"/>
  <c r="AQ28" i="26"/>
  <c r="AS28" i="26" s="1"/>
  <c r="AN31" i="26"/>
  <c r="AQ31" i="26"/>
  <c r="AM31" i="26"/>
  <c r="AO31" i="26" s="1"/>
  <c r="AR31" i="26"/>
  <c r="AD33" i="26"/>
  <c r="AE33" i="26"/>
  <c r="Y38" i="26"/>
  <c r="Z38" i="26" s="1"/>
  <c r="AR38" i="26"/>
  <c r="AM38" i="26"/>
  <c r="AO38" i="26" s="1"/>
  <c r="AN38" i="26"/>
  <c r="AQ38" i="26"/>
  <c r="AS38" i="26" s="1"/>
  <c r="M14" i="26"/>
  <c r="Q14" i="26" s="1"/>
  <c r="P14" i="26"/>
  <c r="P6" i="26" s="1"/>
  <c r="P2" i="26" s="1"/>
  <c r="Q2" i="27" s="1"/>
  <c r="Z17" i="26"/>
  <c r="M24" i="26"/>
  <c r="P24" i="26"/>
  <c r="Y26" i="26"/>
  <c r="Z26" i="26"/>
  <c r="AN35" i="26"/>
  <c r="AQ35" i="26"/>
  <c r="AM35" i="26"/>
  <c r="AO35" i="26" s="1"/>
  <c r="AR35" i="26"/>
  <c r="AD9" i="26"/>
  <c r="AE9" i="26" s="1"/>
  <c r="AS9" i="26"/>
  <c r="AC6" i="26"/>
  <c r="Y10" i="26"/>
  <c r="Z10" i="26" s="1"/>
  <c r="X6" i="26"/>
  <c r="AR10" i="26"/>
  <c r="AM10" i="26"/>
  <c r="AO10" i="26" s="1"/>
  <c r="AN10" i="26"/>
  <c r="Q12" i="26"/>
  <c r="AD13" i="26"/>
  <c r="AS13" i="26"/>
  <c r="AE13" i="26"/>
  <c r="Y14" i="26"/>
  <c r="Z14" i="26"/>
  <c r="AR14" i="26"/>
  <c r="AM14" i="26"/>
  <c r="AO14" i="26" s="1"/>
  <c r="AN14" i="26"/>
  <c r="Q16" i="26"/>
  <c r="AD17" i="26"/>
  <c r="AE17" i="26"/>
  <c r="Y18" i="26"/>
  <c r="Z18" i="26" s="1"/>
  <c r="AR18" i="26"/>
  <c r="AM18" i="26"/>
  <c r="AO18" i="26" s="1"/>
  <c r="AN18" i="26"/>
  <c r="Q20" i="26"/>
  <c r="AD25" i="26"/>
  <c r="AE25" i="26"/>
  <c r="Y28" i="26"/>
  <c r="Z28" i="26" s="1"/>
  <c r="Y30" i="26"/>
  <c r="Z30" i="26"/>
  <c r="AR30" i="26"/>
  <c r="AM30" i="26"/>
  <c r="AO30" i="26" s="1"/>
  <c r="AN30" i="26"/>
  <c r="AQ30" i="26"/>
  <c r="AS30" i="26" s="1"/>
  <c r="AN39" i="26"/>
  <c r="AQ39" i="26"/>
  <c r="AS39" i="26" s="1"/>
  <c r="AM39" i="26"/>
  <c r="AO39" i="26" s="1"/>
  <c r="AR39" i="26"/>
  <c r="AR57" i="26"/>
  <c r="AM57" i="26"/>
  <c r="AN57" i="26"/>
  <c r="AQ57" i="26"/>
  <c r="AS57" i="26" s="1"/>
  <c r="AD8" i="26"/>
  <c r="AE8" i="26" s="1"/>
  <c r="M9" i="26"/>
  <c r="Q9" i="26" s="1"/>
  <c r="Y9" i="26"/>
  <c r="Z9" i="26" s="1"/>
  <c r="AD12" i="26"/>
  <c r="AD6" i="26" s="1"/>
  <c r="M13" i="26"/>
  <c r="Q13" i="26" s="1"/>
  <c r="Y13" i="26"/>
  <c r="Z13" i="26" s="1"/>
  <c r="AD16" i="26"/>
  <c r="AE16" i="26" s="1"/>
  <c r="M17" i="26"/>
  <c r="Q17" i="26" s="1"/>
  <c r="Y17" i="26"/>
  <c r="AO20" i="26"/>
  <c r="AD20" i="26"/>
  <c r="AR21" i="26"/>
  <c r="AQ24" i="26"/>
  <c r="AS24" i="26" s="1"/>
  <c r="P26" i="26"/>
  <c r="AS26" i="26"/>
  <c r="AN27" i="26"/>
  <c r="AQ27" i="26"/>
  <c r="Q28" i="26"/>
  <c r="AS31" i="26"/>
  <c r="AS35" i="26"/>
  <c r="AN42" i="26"/>
  <c r="AR42" i="26"/>
  <c r="AQ42" i="26"/>
  <c r="AS42" i="26" s="1"/>
  <c r="AR46" i="26"/>
  <c r="AM46" i="26"/>
  <c r="AO46" i="26" s="1"/>
  <c r="AN46" i="26"/>
  <c r="AQ46" i="26"/>
  <c r="AS46" i="26" s="1"/>
  <c r="AQ47" i="26"/>
  <c r="AN47" i="26"/>
  <c r="AM47" i="26"/>
  <c r="AO47" i="26" s="1"/>
  <c r="AR47" i="26"/>
  <c r="AD53" i="26"/>
  <c r="AE53" i="26" s="1"/>
  <c r="Y54" i="26"/>
  <c r="Z54" i="26" s="1"/>
  <c r="AQ56" i="26"/>
  <c r="AS56" i="26" s="1"/>
  <c r="AN56" i="26"/>
  <c r="AR56" i="26"/>
  <c r="AM56" i="26"/>
  <c r="AO56" i="26" s="1"/>
  <c r="Y20" i="26"/>
  <c r="Z20" i="26" s="1"/>
  <c r="AE20" i="26"/>
  <c r="AM21" i="26"/>
  <c r="AO21" i="26" s="1"/>
  <c r="AS21" i="26"/>
  <c r="AO22" i="26"/>
  <c r="M23" i="26"/>
  <c r="Q23" i="26" s="1"/>
  <c r="AO24" i="26"/>
  <c r="AR24" i="26"/>
  <c r="AR25" i="26"/>
  <c r="AD26" i="26"/>
  <c r="AE26" i="26" s="1"/>
  <c r="Y27" i="26"/>
  <c r="Z27" i="26" s="1"/>
  <c r="AM27" i="26"/>
  <c r="AO27" i="26" s="1"/>
  <c r="P28" i="26"/>
  <c r="M30" i="26"/>
  <c r="P30" i="26"/>
  <c r="Q31" i="26"/>
  <c r="Q32" i="26"/>
  <c r="M34" i="26"/>
  <c r="P34" i="26"/>
  <c r="Q35" i="26"/>
  <c r="Q36" i="26"/>
  <c r="M38" i="26"/>
  <c r="P38" i="26"/>
  <c r="Q39" i="26"/>
  <c r="Q40" i="26"/>
  <c r="M42" i="26"/>
  <c r="P42" i="26"/>
  <c r="AM42" i="26"/>
  <c r="M48" i="26"/>
  <c r="Q48" i="26" s="1"/>
  <c r="P48" i="26"/>
  <c r="AR50" i="26"/>
  <c r="AM50" i="26"/>
  <c r="AO50" i="26" s="1"/>
  <c r="AQ50" i="26"/>
  <c r="AS50" i="26" s="1"/>
  <c r="AE22" i="26"/>
  <c r="AS22" i="26"/>
  <c r="Z23" i="26"/>
  <c r="AO23" i="26"/>
  <c r="AQ29" i="26"/>
  <c r="AS29" i="26" s="1"/>
  <c r="AN29" i="26"/>
  <c r="AR29" i="26"/>
  <c r="AM29" i="26"/>
  <c r="AO29" i="26" s="1"/>
  <c r="AR32" i="26"/>
  <c r="AM32" i="26"/>
  <c r="AO32" i="26" s="1"/>
  <c r="AQ32" i="26"/>
  <c r="AS32" i="26" s="1"/>
  <c r="AQ33" i="26"/>
  <c r="AS33" i="26" s="1"/>
  <c r="AN33" i="26"/>
  <c r="AR33" i="26"/>
  <c r="AM33" i="26"/>
  <c r="AO33" i="26" s="1"/>
  <c r="AR36" i="26"/>
  <c r="AM36" i="26"/>
  <c r="AO36" i="26" s="1"/>
  <c r="AQ36" i="26"/>
  <c r="AS36" i="26" s="1"/>
  <c r="AQ37" i="26"/>
  <c r="AS37" i="26" s="1"/>
  <c r="AN37" i="26"/>
  <c r="AR37" i="26"/>
  <c r="AM37" i="26"/>
  <c r="AO37" i="26" s="1"/>
  <c r="AE38" i="26"/>
  <c r="AR40" i="26"/>
  <c r="AM40" i="26"/>
  <c r="AO40" i="26" s="1"/>
  <c r="AN40" i="26"/>
  <c r="AN41" i="26"/>
  <c r="AR41" i="26"/>
  <c r="AQ41" i="26"/>
  <c r="AS41" i="26" s="1"/>
  <c r="M46" i="26"/>
  <c r="P46" i="26"/>
  <c r="AN54" i="26"/>
  <c r="AQ54" i="26"/>
  <c r="AS54" i="26" s="1"/>
  <c r="AM54" i="26"/>
  <c r="AO54" i="26" s="1"/>
  <c r="AD45" i="26"/>
  <c r="Y46" i="26"/>
  <c r="Z46" i="26" s="1"/>
  <c r="AD47" i="26"/>
  <c r="AS47" i="26"/>
  <c r="Y48" i="26"/>
  <c r="AN53" i="26"/>
  <c r="AQ53" i="26"/>
  <c r="AS53" i="26" s="1"/>
  <c r="M57" i="26"/>
  <c r="Q57" i="26" s="1"/>
  <c r="P57" i="26"/>
  <c r="AQ60" i="26"/>
  <c r="AS60" i="26" s="1"/>
  <c r="AN60" i="26"/>
  <c r="AR60" i="26"/>
  <c r="AM60" i="26"/>
  <c r="AO60" i="26" s="1"/>
  <c r="AQ64" i="26"/>
  <c r="AS64" i="26" s="1"/>
  <c r="AN64" i="26"/>
  <c r="AR64" i="26"/>
  <c r="AM64" i="26"/>
  <c r="AO64" i="26" s="1"/>
  <c r="AQ68" i="26"/>
  <c r="AS68" i="26" s="1"/>
  <c r="AN68" i="26"/>
  <c r="AR68" i="26"/>
  <c r="AM68" i="26"/>
  <c r="AO68" i="26" s="1"/>
  <c r="AQ72" i="26"/>
  <c r="AS72" i="26" s="1"/>
  <c r="AN72" i="26"/>
  <c r="AR72" i="26"/>
  <c r="AM72" i="26"/>
  <c r="AO72" i="26" s="1"/>
  <c r="AD31" i="26"/>
  <c r="AE31" i="26" s="1"/>
  <c r="Y32" i="26"/>
  <c r="Z32" i="26" s="1"/>
  <c r="AD35" i="26"/>
  <c r="AE35" i="26" s="1"/>
  <c r="Y36" i="26"/>
  <c r="Z36" i="26" s="1"/>
  <c r="AD39" i="26"/>
  <c r="AE39" i="26" s="1"/>
  <c r="Y40" i="26"/>
  <c r="Z40" i="26" s="1"/>
  <c r="M41" i="26"/>
  <c r="Q41" i="26" s="1"/>
  <c r="AO42" i="26"/>
  <c r="AD43" i="26"/>
  <c r="AE43" i="26" s="1"/>
  <c r="Y44" i="26"/>
  <c r="Z44" i="26" s="1"/>
  <c r="AO44" i="26"/>
  <c r="AR44" i="26"/>
  <c r="AM44" i="26"/>
  <c r="AQ44" i="26"/>
  <c r="AS44" i="26" s="1"/>
  <c r="AE45" i="26"/>
  <c r="AE47" i="26"/>
  <c r="Z48" i="26"/>
  <c r="Z49" i="26"/>
  <c r="AN49" i="26"/>
  <c r="AQ49" i="26"/>
  <c r="AS49" i="26" s="1"/>
  <c r="Q50" i="26"/>
  <c r="AQ51" i="26"/>
  <c r="AS51" i="26" s="1"/>
  <c r="AN51" i="26"/>
  <c r="Q52" i="26"/>
  <c r="AE52" i="26"/>
  <c r="AM53" i="26"/>
  <c r="AO53" i="26" s="1"/>
  <c r="P54" i="26"/>
  <c r="Q54" i="26" s="1"/>
  <c r="AO55" i="26"/>
  <c r="Y55" i="26"/>
  <c r="Z55" i="26" s="1"/>
  <c r="AQ55" i="26"/>
  <c r="AS55" i="26" s="1"/>
  <c r="AM55" i="26"/>
  <c r="AR55" i="26"/>
  <c r="Y57" i="26"/>
  <c r="Z57" i="26" s="1"/>
  <c r="AO57" i="26"/>
  <c r="M61" i="26"/>
  <c r="Q61" i="26" s="1"/>
  <c r="P61" i="26"/>
  <c r="AR63" i="26"/>
  <c r="AM63" i="26"/>
  <c r="AO63" i="26" s="1"/>
  <c r="AQ63" i="26"/>
  <c r="AS63" i="26" s="1"/>
  <c r="AN63" i="26"/>
  <c r="M65" i="26"/>
  <c r="Q65" i="26" s="1"/>
  <c r="P65" i="26"/>
  <c r="AR67" i="26"/>
  <c r="AM67" i="26"/>
  <c r="AO67" i="26" s="1"/>
  <c r="AQ67" i="26"/>
  <c r="AS67" i="26" s="1"/>
  <c r="AN67" i="26"/>
  <c r="M69" i="26"/>
  <c r="Q69" i="26" s="1"/>
  <c r="P69" i="26"/>
  <c r="AR71" i="26"/>
  <c r="AM71" i="26"/>
  <c r="AO71" i="26" s="1"/>
  <c r="AQ71" i="26"/>
  <c r="AS71" i="26" s="1"/>
  <c r="AN71" i="26"/>
  <c r="AE40" i="26"/>
  <c r="AS40" i="26"/>
  <c r="Z41" i="26"/>
  <c r="AE41" i="26"/>
  <c r="AO41" i="26"/>
  <c r="Z42" i="26"/>
  <c r="AQ43" i="26"/>
  <c r="AS43" i="26" s="1"/>
  <c r="AN43" i="26"/>
  <c r="Q44" i="26"/>
  <c r="AE44" i="26"/>
  <c r="AD49" i="26"/>
  <c r="AE49" i="26" s="1"/>
  <c r="Y50" i="26"/>
  <c r="Z50" i="26" s="1"/>
  <c r="AD51" i="26"/>
  <c r="AE51" i="26" s="1"/>
  <c r="Y52" i="26"/>
  <c r="Z52" i="26" s="1"/>
  <c r="AR53" i="26"/>
  <c r="AD56" i="26"/>
  <c r="AE56" i="26" s="1"/>
  <c r="AD58" i="26"/>
  <c r="AE58" i="26" s="1"/>
  <c r="Y59" i="26"/>
  <c r="Z59" i="26" s="1"/>
  <c r="AR59" i="26"/>
  <c r="AM59" i="26"/>
  <c r="AO59" i="26" s="1"/>
  <c r="AQ59" i="26"/>
  <c r="AS59" i="26" s="1"/>
  <c r="AD60" i="26"/>
  <c r="AE60" i="26" s="1"/>
  <c r="Y61" i="26"/>
  <c r="Z61" i="26" s="1"/>
  <c r="AO61" i="26"/>
  <c r="AR61" i="26"/>
  <c r="AM61" i="26"/>
  <c r="AN61" i="26"/>
  <c r="Z62" i="26"/>
  <c r="AN62" i="26"/>
  <c r="AQ62" i="26"/>
  <c r="AD64" i="26"/>
  <c r="AE64" i="26" s="1"/>
  <c r="Y65" i="26"/>
  <c r="Z65" i="26" s="1"/>
  <c r="AO65" i="26"/>
  <c r="AR65" i="26"/>
  <c r="AM65" i="26"/>
  <c r="AN65" i="26"/>
  <c r="Z66" i="26"/>
  <c r="AN66" i="26"/>
  <c r="AQ66" i="26"/>
  <c r="AD68" i="26"/>
  <c r="AE68" i="26" s="1"/>
  <c r="Y69" i="26"/>
  <c r="Z69" i="26" s="1"/>
  <c r="AR69" i="26"/>
  <c r="AM69" i="26"/>
  <c r="AO69" i="26" s="1"/>
  <c r="AN69" i="26"/>
  <c r="Z70" i="26"/>
  <c r="AN70" i="26"/>
  <c r="AQ70" i="26"/>
  <c r="AS70" i="26" s="1"/>
  <c r="AD72" i="26"/>
  <c r="AE72" i="26" s="1"/>
  <c r="R6" i="27"/>
  <c r="R3" i="27" s="1"/>
  <c r="Z58" i="26"/>
  <c r="AN58" i="26"/>
  <c r="AQ58" i="26"/>
  <c r="AS58" i="26" s="1"/>
  <c r="Q59" i="26"/>
  <c r="AS62" i="26"/>
  <c r="AR62" i="26"/>
  <c r="AS66" i="26"/>
  <c r="AR66" i="26"/>
  <c r="AR70" i="26"/>
  <c r="AB7" i="27"/>
  <c r="S8" i="27"/>
  <c r="S10" i="27"/>
  <c r="S12" i="27"/>
  <c r="S14" i="27"/>
  <c r="S16" i="27"/>
  <c r="S18" i="27"/>
  <c r="AS69" i="26"/>
  <c r="AO70" i="26"/>
  <c r="AB6" i="27"/>
  <c r="AD62" i="26"/>
  <c r="AE62" i="26" s="1"/>
  <c r="Y63" i="26"/>
  <c r="Z63" i="26" s="1"/>
  <c r="AD66" i="26"/>
  <c r="AE66" i="26" s="1"/>
  <c r="Y67" i="26"/>
  <c r="Z67" i="26" s="1"/>
  <c r="AD70" i="26"/>
  <c r="AE70" i="26" s="1"/>
  <c r="Y71" i="26"/>
  <c r="Z71" i="26" s="1"/>
  <c r="AE6" i="27"/>
  <c r="AF6" i="27" s="1"/>
  <c r="S9" i="19"/>
  <c r="AS55" i="15" l="1"/>
  <c r="AR6" i="26"/>
  <c r="AS54" i="15"/>
  <c r="Z3" i="27"/>
  <c r="X3" i="26"/>
  <c r="AN6" i="26"/>
  <c r="AE12" i="26"/>
  <c r="AM6" i="26"/>
  <c r="AO7" i="26"/>
  <c r="AO6" i="26" s="1"/>
  <c r="AB3" i="27"/>
  <c r="Q46" i="26"/>
  <c r="Q24" i="26"/>
  <c r="Q10" i="26"/>
  <c r="AS7" i="26"/>
  <c r="AS6" i="26" s="1"/>
  <c r="AQ6" i="26"/>
  <c r="AE3" i="27"/>
  <c r="AC3" i="26"/>
  <c r="AD3" i="26"/>
  <c r="M6" i="26"/>
  <c r="AG6" i="27"/>
  <c r="AG3" i="27" s="1"/>
  <c r="Q42" i="26"/>
  <c r="Q38" i="26"/>
  <c r="Q34" i="26"/>
  <c r="Q30" i="26"/>
  <c r="Y6" i="26"/>
  <c r="AE6" i="26" s="1"/>
  <c r="AE3" i="26" s="1"/>
  <c r="Z6" i="26"/>
  <c r="Z3" i="26" s="1"/>
  <c r="AC13" i="18"/>
  <c r="AD13" i="18" s="1"/>
  <c r="AC14" i="18"/>
  <c r="AD14" i="18" s="1"/>
  <c r="AN9" i="19" a="1"/>
  <c r="AN9" i="19" s="1"/>
  <c r="AL9" i="19"/>
  <c r="AI9" i="19"/>
  <c r="AK9" i="19" s="1"/>
  <c r="AE9" i="19"/>
  <c r="AF9" i="19" s="1"/>
  <c r="AG9" i="19" s="1"/>
  <c r="Z9" i="19"/>
  <c r="R9" i="19"/>
  <c r="N9" i="19"/>
  <c r="O9" i="19" s="1"/>
  <c r="K9" i="19"/>
  <c r="C9" i="19"/>
  <c r="A9" i="19" s="1"/>
  <c r="AI104" i="15"/>
  <c r="AI105" i="15"/>
  <c r="AI106" i="15"/>
  <c r="AI107" i="15"/>
  <c r="AI108" i="15"/>
  <c r="AI109" i="15"/>
  <c r="AI110" i="15"/>
  <c r="AI111" i="15"/>
  <c r="AI112" i="15"/>
  <c r="AE104" i="15"/>
  <c r="AF104" i="15" s="1"/>
  <c r="AE105" i="15"/>
  <c r="AF105" i="15" s="1"/>
  <c r="AE106" i="15"/>
  <c r="AF106" i="15" s="1"/>
  <c r="AG106" i="15" s="1"/>
  <c r="AE107" i="15"/>
  <c r="AF107" i="15" s="1"/>
  <c r="AG107" i="15" s="1"/>
  <c r="AE108" i="15"/>
  <c r="AF108" i="15" s="1"/>
  <c r="AE109" i="15"/>
  <c r="AF109" i="15" s="1"/>
  <c r="AE110" i="15"/>
  <c r="AF110" i="15" s="1"/>
  <c r="AG110" i="15" s="1"/>
  <c r="AE111" i="15"/>
  <c r="AF111" i="15" s="1"/>
  <c r="AG111" i="15" s="1"/>
  <c r="AE112" i="15"/>
  <c r="AF112" i="15" s="1"/>
  <c r="Z104" i="15"/>
  <c r="AA104" i="15" s="1"/>
  <c r="Z105" i="15"/>
  <c r="AA105" i="15" s="1"/>
  <c r="Z106" i="15"/>
  <c r="AA106" i="15" s="1"/>
  <c r="AB106" i="15" s="1"/>
  <c r="Z107" i="15"/>
  <c r="AA107" i="15" s="1"/>
  <c r="AB107" i="15" s="1"/>
  <c r="Z108" i="15"/>
  <c r="AA108" i="15" s="1"/>
  <c r="Z109" i="15"/>
  <c r="AA109" i="15" s="1"/>
  <c r="Z110" i="15"/>
  <c r="AA110" i="15" s="1"/>
  <c r="AB110" i="15" s="1"/>
  <c r="Z111" i="15"/>
  <c r="AA111" i="15" s="1"/>
  <c r="AB111" i="15" s="1"/>
  <c r="Z112" i="15"/>
  <c r="AA112" i="15" s="1"/>
  <c r="AI103" i="15"/>
  <c r="AE103" i="15"/>
  <c r="AF103" i="15" s="1"/>
  <c r="AG103" i="15" s="1"/>
  <c r="Z103" i="15"/>
  <c r="AI93" i="15"/>
  <c r="AI94" i="15"/>
  <c r="AI95" i="15"/>
  <c r="AI96" i="15"/>
  <c r="AI97" i="15"/>
  <c r="AI98" i="15"/>
  <c r="AI99" i="15"/>
  <c r="AI100" i="15"/>
  <c r="AI101" i="15"/>
  <c r="AE93" i="15"/>
  <c r="AE94" i="15"/>
  <c r="AF94" i="15" s="1"/>
  <c r="AE95" i="15"/>
  <c r="AF95" i="15" s="1"/>
  <c r="AG95" i="15" s="1"/>
  <c r="AE96" i="15"/>
  <c r="AF96" i="15" s="1"/>
  <c r="AG96" i="15" s="1"/>
  <c r="AE97" i="15"/>
  <c r="AF97" i="15" s="1"/>
  <c r="AE98" i="15"/>
  <c r="AF98" i="15" s="1"/>
  <c r="AE99" i="15"/>
  <c r="AF99" i="15" s="1"/>
  <c r="AG99" i="15" s="1"/>
  <c r="AE100" i="15"/>
  <c r="AF100" i="15" s="1"/>
  <c r="AG100" i="15" s="1"/>
  <c r="AE101" i="15"/>
  <c r="Z93" i="15"/>
  <c r="AA93" i="15" s="1"/>
  <c r="Z94" i="15"/>
  <c r="AA94" i="15" s="1"/>
  <c r="Z95" i="15"/>
  <c r="AA95" i="15" s="1"/>
  <c r="AB95" i="15" s="1"/>
  <c r="Z96" i="15"/>
  <c r="AA96" i="15" s="1"/>
  <c r="AB96" i="15" s="1"/>
  <c r="Z97" i="15"/>
  <c r="AA97" i="15" s="1"/>
  <c r="Z98" i="15"/>
  <c r="AA98" i="15" s="1"/>
  <c r="Z99" i="15"/>
  <c r="AA99" i="15" s="1"/>
  <c r="AB99" i="15" s="1"/>
  <c r="Z100" i="15"/>
  <c r="AA100" i="15" s="1"/>
  <c r="AB100" i="15" s="1"/>
  <c r="Z101" i="15"/>
  <c r="AA101" i="15" s="1"/>
  <c r="AI92" i="15"/>
  <c r="AE92" i="15"/>
  <c r="Z92" i="15"/>
  <c r="AA92" i="15" s="1"/>
  <c r="AB92" i="15" s="1"/>
  <c r="AI82" i="15"/>
  <c r="AI83" i="15"/>
  <c r="AI84" i="15"/>
  <c r="AI85" i="15"/>
  <c r="AI86" i="15"/>
  <c r="AI87" i="15"/>
  <c r="AI88" i="15"/>
  <c r="AI89" i="15"/>
  <c r="AI90" i="15"/>
  <c r="AE82" i="15"/>
  <c r="AF82" i="15" s="1"/>
  <c r="AG82" i="15" s="1"/>
  <c r="AE83" i="15"/>
  <c r="AF83" i="15" s="1"/>
  <c r="AE84" i="15"/>
  <c r="AF84" i="15" s="1"/>
  <c r="AE85" i="15"/>
  <c r="AF85" i="15" s="1"/>
  <c r="AE86" i="15"/>
  <c r="AF86" i="15" s="1"/>
  <c r="AG86" i="15" s="1"/>
  <c r="AE87" i="15"/>
  <c r="AF87" i="15" s="1"/>
  <c r="AE88" i="15"/>
  <c r="AF88" i="15" s="1"/>
  <c r="AE89" i="15"/>
  <c r="AF89" i="15" s="1"/>
  <c r="AE90" i="15"/>
  <c r="AF90" i="15" s="1"/>
  <c r="AG90" i="15" s="1"/>
  <c r="Z82" i="15"/>
  <c r="AA82" i="15" s="1"/>
  <c r="AB82" i="15" s="1"/>
  <c r="Z83" i="15"/>
  <c r="AA83" i="15" s="1"/>
  <c r="Z84" i="15"/>
  <c r="Z85" i="15"/>
  <c r="AA85" i="15" s="1"/>
  <c r="Z86" i="15"/>
  <c r="AA86" i="15" s="1"/>
  <c r="AB86" i="15" s="1"/>
  <c r="Z87" i="15"/>
  <c r="AA87" i="15" s="1"/>
  <c r="AB87" i="15" s="1"/>
  <c r="Z88" i="15"/>
  <c r="Z89" i="15"/>
  <c r="AA89" i="15" s="1"/>
  <c r="Z90" i="15"/>
  <c r="AA90" i="15" s="1"/>
  <c r="AI81" i="15"/>
  <c r="AE81" i="15"/>
  <c r="Z81" i="15"/>
  <c r="AA81" i="15" s="1"/>
  <c r="AB81" i="15" s="1"/>
  <c r="AI71" i="15"/>
  <c r="AI72" i="15"/>
  <c r="AI73" i="15"/>
  <c r="AI74" i="15"/>
  <c r="AI75" i="15"/>
  <c r="AI76" i="15"/>
  <c r="AI77" i="15"/>
  <c r="AI78" i="15"/>
  <c r="AI79" i="15"/>
  <c r="AE71" i="15"/>
  <c r="AF71" i="15" s="1"/>
  <c r="AE72" i="15"/>
  <c r="AF72" i="15"/>
  <c r="AG72" i="15" s="1"/>
  <c r="AE73" i="15"/>
  <c r="AE74" i="15"/>
  <c r="AF74" i="15" s="1"/>
  <c r="AE75" i="15"/>
  <c r="AF75" i="15" s="1"/>
  <c r="AG75" i="15" s="1"/>
  <c r="AE76" i="15"/>
  <c r="AF76" i="15" s="1"/>
  <c r="AE77" i="15"/>
  <c r="AE78" i="15"/>
  <c r="AE79" i="15"/>
  <c r="AF79" i="15" s="1"/>
  <c r="AG79" i="15" s="1"/>
  <c r="Z71" i="15"/>
  <c r="AA71" i="15" s="1"/>
  <c r="AB71" i="15" s="1"/>
  <c r="Z72" i="15"/>
  <c r="AA72" i="15" s="1"/>
  <c r="Z73" i="15"/>
  <c r="Z74" i="15"/>
  <c r="Z75" i="15"/>
  <c r="AA75" i="15" s="1"/>
  <c r="AB75" i="15" s="1"/>
  <c r="Z76" i="15"/>
  <c r="AA76" i="15" s="1"/>
  <c r="AB76" i="15" s="1"/>
  <c r="Z77" i="15"/>
  <c r="Z78" i="15"/>
  <c r="AA78" i="15"/>
  <c r="Z79" i="15"/>
  <c r="AA79" i="15" s="1"/>
  <c r="AB79" i="15" s="1"/>
  <c r="AI70" i="15"/>
  <c r="AE70" i="15"/>
  <c r="Z70" i="15"/>
  <c r="AA70" i="15" s="1"/>
  <c r="AB70" i="15" s="1"/>
  <c r="AI60" i="15"/>
  <c r="AI61" i="15"/>
  <c r="AI62" i="15"/>
  <c r="AI63" i="15"/>
  <c r="AI64" i="15"/>
  <c r="AI65" i="15"/>
  <c r="AI66" i="15"/>
  <c r="AI67" i="15"/>
  <c r="AI68" i="15"/>
  <c r="AE60" i="15"/>
  <c r="AF60" i="15" s="1"/>
  <c r="AE61" i="15"/>
  <c r="AF61" i="15" s="1"/>
  <c r="AE62" i="15"/>
  <c r="AF62" i="15" s="1"/>
  <c r="AE63" i="15"/>
  <c r="AF63" i="15" s="1"/>
  <c r="AE64" i="15"/>
  <c r="AF64" i="15" s="1"/>
  <c r="AE65" i="15"/>
  <c r="AF65" i="15" s="1"/>
  <c r="AE66" i="15"/>
  <c r="AF66" i="15" s="1"/>
  <c r="AE67" i="15"/>
  <c r="AF67" i="15" s="1"/>
  <c r="AE68" i="15"/>
  <c r="AF68" i="15" s="1"/>
  <c r="Z60" i="15"/>
  <c r="AA60" i="15" s="1"/>
  <c r="Z61" i="15"/>
  <c r="AA61" i="15" s="1"/>
  <c r="Z62" i="15"/>
  <c r="AA62" i="15" s="1"/>
  <c r="Z63" i="15"/>
  <c r="AA63" i="15" s="1"/>
  <c r="Z64" i="15"/>
  <c r="AA64" i="15" s="1"/>
  <c r="Z65" i="15"/>
  <c r="AA65" i="15" s="1"/>
  <c r="Z66" i="15"/>
  <c r="AA66" i="15" s="1"/>
  <c r="Z67" i="15"/>
  <c r="AA67" i="15" s="1"/>
  <c r="Z68" i="15"/>
  <c r="AA68" i="15" s="1"/>
  <c r="AI59" i="15"/>
  <c r="AE59" i="15"/>
  <c r="Z59" i="15"/>
  <c r="AA59" i="15" s="1"/>
  <c r="AB59" i="15" s="1"/>
  <c r="AI57" i="15"/>
  <c r="AE57" i="15"/>
  <c r="AF57" i="15" s="1"/>
  <c r="Z57" i="15"/>
  <c r="AA57" i="15" s="1"/>
  <c r="AB57" i="15" s="1"/>
  <c r="AI52" i="15"/>
  <c r="AE52" i="15"/>
  <c r="AF52" i="15" s="1"/>
  <c r="AG52" i="15" s="1"/>
  <c r="Z52" i="15"/>
  <c r="AA52" i="15" s="1"/>
  <c r="AB52" i="15" s="1"/>
  <c r="AI42" i="15"/>
  <c r="AI43" i="15"/>
  <c r="AI44" i="15"/>
  <c r="AI45" i="15"/>
  <c r="AI46" i="15"/>
  <c r="AI47" i="15"/>
  <c r="AI48" i="15"/>
  <c r="AI49" i="15"/>
  <c r="AI50" i="15"/>
  <c r="AE42" i="15"/>
  <c r="AF42" i="15" s="1"/>
  <c r="AE43" i="15"/>
  <c r="AF43" i="15" s="1"/>
  <c r="AG43" i="15" s="1"/>
  <c r="AE44" i="15"/>
  <c r="AF44" i="15" s="1"/>
  <c r="AG44" i="15" s="1"/>
  <c r="AE45" i="15"/>
  <c r="AF45" i="15" s="1"/>
  <c r="AE46" i="15"/>
  <c r="AF46" i="15" s="1"/>
  <c r="AE47" i="15"/>
  <c r="AF47" i="15" s="1"/>
  <c r="AE48" i="15"/>
  <c r="AF48" i="15" s="1"/>
  <c r="AG48" i="15" s="1"/>
  <c r="AE49" i="15"/>
  <c r="AF49" i="15" s="1"/>
  <c r="AE50" i="15"/>
  <c r="AF50" i="15" s="1"/>
  <c r="Z42" i="15"/>
  <c r="AA42" i="15" s="1"/>
  <c r="Z43" i="15"/>
  <c r="AA43" i="15" s="1"/>
  <c r="AB43" i="15" s="1"/>
  <c r="Z44" i="15"/>
  <c r="AA44" i="15" s="1"/>
  <c r="AB44" i="15" s="1"/>
  <c r="Z45" i="15"/>
  <c r="AA45" i="15" s="1"/>
  <c r="AB45" i="15" s="1"/>
  <c r="Z46" i="15"/>
  <c r="AA46" i="15" s="1"/>
  <c r="Z47" i="15"/>
  <c r="AA47" i="15" s="1"/>
  <c r="Z48" i="15"/>
  <c r="AA48" i="15" s="1"/>
  <c r="AB48" i="15" s="1"/>
  <c r="Z49" i="15"/>
  <c r="AA49" i="15" s="1"/>
  <c r="AB49" i="15" s="1"/>
  <c r="Z50" i="15"/>
  <c r="AA50" i="15" s="1"/>
  <c r="AI41" i="15"/>
  <c r="AE41" i="15"/>
  <c r="Z41" i="15"/>
  <c r="AA41" i="15" s="1"/>
  <c r="AB41" i="15" s="1"/>
  <c r="AI31" i="15"/>
  <c r="AI32" i="15"/>
  <c r="AI33" i="15"/>
  <c r="AI34" i="15"/>
  <c r="AI35" i="15"/>
  <c r="AI36" i="15"/>
  <c r="AI37" i="15"/>
  <c r="AI38" i="15"/>
  <c r="AI39" i="15"/>
  <c r="AE31" i="15"/>
  <c r="AF31" i="15" s="1"/>
  <c r="AE32" i="15"/>
  <c r="AF32" i="15" s="1"/>
  <c r="AE33" i="15"/>
  <c r="AF33" i="15" s="1"/>
  <c r="AG33" i="15" s="1"/>
  <c r="AE34" i="15"/>
  <c r="AF34" i="15" s="1"/>
  <c r="AE35" i="15"/>
  <c r="AE36" i="15"/>
  <c r="AF36" i="15" s="1"/>
  <c r="AE37" i="15"/>
  <c r="AF37" i="15" s="1"/>
  <c r="AG37" i="15" s="1"/>
  <c r="AE38" i="15"/>
  <c r="AF38" i="15" s="1"/>
  <c r="AE39" i="15"/>
  <c r="AF39" i="15" s="1"/>
  <c r="Z31" i="15"/>
  <c r="AA31" i="15" s="1"/>
  <c r="Z32" i="15"/>
  <c r="AA32" i="15" s="1"/>
  <c r="Z33" i="15"/>
  <c r="AA33" i="15" s="1"/>
  <c r="AB33" i="15" s="1"/>
  <c r="Z34" i="15"/>
  <c r="AA34" i="15" s="1"/>
  <c r="AB34" i="15" s="1"/>
  <c r="Z35" i="15"/>
  <c r="AA35" i="15" s="1"/>
  <c r="Z36" i="15"/>
  <c r="AA36" i="15" s="1"/>
  <c r="Z37" i="15"/>
  <c r="AA37" i="15" s="1"/>
  <c r="AB37" i="15" s="1"/>
  <c r="Z38" i="15"/>
  <c r="AA38" i="15" s="1"/>
  <c r="AB38" i="15" s="1"/>
  <c r="Z39" i="15"/>
  <c r="AA39" i="15" s="1"/>
  <c r="AI30" i="15"/>
  <c r="AE30" i="15"/>
  <c r="AF30" i="15" s="1"/>
  <c r="AG30" i="15" s="1"/>
  <c r="Z30" i="15"/>
  <c r="AA30" i="15" s="1"/>
  <c r="AB30" i="15" s="1"/>
  <c r="AI20" i="15"/>
  <c r="AI21" i="15"/>
  <c r="AI22" i="15"/>
  <c r="AI23" i="15"/>
  <c r="AI24" i="15"/>
  <c r="AI25" i="15"/>
  <c r="AI26" i="15"/>
  <c r="AI27" i="15"/>
  <c r="AI28" i="15"/>
  <c r="AE20" i="15"/>
  <c r="AF20" i="15" s="1"/>
  <c r="AG20" i="15" s="1"/>
  <c r="AE21" i="15"/>
  <c r="AF21" i="15" s="1"/>
  <c r="AG21" i="15" s="1"/>
  <c r="AE22" i="15"/>
  <c r="AE23" i="15"/>
  <c r="AF23" i="15" s="1"/>
  <c r="AE24" i="15"/>
  <c r="AF24" i="15" s="1"/>
  <c r="AG24" i="15" s="1"/>
  <c r="AE25" i="15"/>
  <c r="AF25" i="15" s="1"/>
  <c r="AG25" i="15" s="1"/>
  <c r="AE26" i="15"/>
  <c r="AE27" i="15"/>
  <c r="AF27" i="15" s="1"/>
  <c r="AE28" i="15"/>
  <c r="AF28" i="15" s="1"/>
  <c r="AG28" i="15" s="1"/>
  <c r="Z20" i="15"/>
  <c r="Z21" i="15"/>
  <c r="AA21" i="15" s="1"/>
  <c r="Z22" i="15"/>
  <c r="AA22" i="15" s="1"/>
  <c r="AB22" i="15" s="1"/>
  <c r="Z23" i="15"/>
  <c r="AA23" i="15" s="1"/>
  <c r="AB23" i="15" s="1"/>
  <c r="Z24" i="15"/>
  <c r="AA24" i="15" s="1"/>
  <c r="Z25" i="15"/>
  <c r="AA25" i="15" s="1"/>
  <c r="Z26" i="15"/>
  <c r="AA26" i="15" s="1"/>
  <c r="AB26" i="15" s="1"/>
  <c r="Z27" i="15"/>
  <c r="AA27" i="15" s="1"/>
  <c r="AB27" i="15" s="1"/>
  <c r="Z28" i="15"/>
  <c r="AI19" i="15"/>
  <c r="AE19" i="15"/>
  <c r="AF19" i="15" s="1"/>
  <c r="AG19" i="15" s="1"/>
  <c r="Z19" i="15"/>
  <c r="AI9" i="15"/>
  <c r="AI10" i="15"/>
  <c r="AI11" i="15"/>
  <c r="AI12" i="15"/>
  <c r="AI13" i="15"/>
  <c r="AI14" i="15"/>
  <c r="AI15" i="15"/>
  <c r="AI16" i="15"/>
  <c r="AI17" i="15"/>
  <c r="AE9" i="15"/>
  <c r="AF9" i="15" s="1"/>
  <c r="AE10" i="15"/>
  <c r="AF10" i="15" s="1"/>
  <c r="AE11" i="15"/>
  <c r="AF11" i="15" s="1"/>
  <c r="AE12" i="15"/>
  <c r="AF12" i="15" s="1"/>
  <c r="AE13" i="15"/>
  <c r="AF13" i="15" s="1"/>
  <c r="AE14" i="15"/>
  <c r="AF14" i="15" s="1"/>
  <c r="AE15" i="15"/>
  <c r="AF15" i="15" s="1"/>
  <c r="AE16" i="15"/>
  <c r="AF16" i="15" s="1"/>
  <c r="AE17" i="15"/>
  <c r="AF17" i="15" s="1"/>
  <c r="Z9" i="15"/>
  <c r="AA9" i="15" s="1"/>
  <c r="Z10" i="15"/>
  <c r="AA10" i="15" s="1"/>
  <c r="Z11" i="15"/>
  <c r="AA11" i="15" s="1"/>
  <c r="Z12" i="15"/>
  <c r="AA12" i="15" s="1"/>
  <c r="Z13" i="15"/>
  <c r="AA13" i="15" s="1"/>
  <c r="Z14" i="15"/>
  <c r="AA14" i="15" s="1"/>
  <c r="Z15" i="15"/>
  <c r="AA15" i="15" s="1"/>
  <c r="Z16" i="15"/>
  <c r="AA16" i="15" s="1"/>
  <c r="Z17" i="15"/>
  <c r="AA17" i="15" s="1"/>
  <c r="C83" i="15"/>
  <c r="B83" i="15" s="1"/>
  <c r="C84" i="15"/>
  <c r="B84" i="15" s="1"/>
  <c r="C85" i="15"/>
  <c r="B85" i="15" s="1"/>
  <c r="C86" i="15"/>
  <c r="B86" i="15" s="1"/>
  <c r="C87" i="15"/>
  <c r="B87" i="15" s="1"/>
  <c r="C88" i="15"/>
  <c r="B88" i="15" s="1"/>
  <c r="C89" i="15"/>
  <c r="B89" i="15" s="1"/>
  <c r="C90" i="15"/>
  <c r="B90" i="15" s="1"/>
  <c r="K8" i="15"/>
  <c r="K9" i="15"/>
  <c r="K10" i="15"/>
  <c r="K11" i="15"/>
  <c r="K12" i="15"/>
  <c r="K13" i="15"/>
  <c r="K14" i="15"/>
  <c r="K15" i="15"/>
  <c r="K16" i="15"/>
  <c r="K17" i="15"/>
  <c r="K19" i="15"/>
  <c r="K20" i="15"/>
  <c r="K21" i="15"/>
  <c r="K22" i="15"/>
  <c r="K23" i="15"/>
  <c r="K24" i="15"/>
  <c r="K25" i="15"/>
  <c r="K26" i="15"/>
  <c r="K27" i="15"/>
  <c r="K28" i="15"/>
  <c r="K30" i="15"/>
  <c r="K31" i="15"/>
  <c r="K32" i="15"/>
  <c r="K33" i="15"/>
  <c r="K34" i="15"/>
  <c r="K35" i="15"/>
  <c r="K36" i="15"/>
  <c r="K37" i="15"/>
  <c r="K38" i="15"/>
  <c r="K39" i="15"/>
  <c r="K41" i="15"/>
  <c r="K42" i="15"/>
  <c r="K43" i="15"/>
  <c r="K44" i="15"/>
  <c r="K45" i="15"/>
  <c r="K46" i="15"/>
  <c r="K47" i="15"/>
  <c r="K48" i="15"/>
  <c r="K49" i="15"/>
  <c r="K50" i="15"/>
  <c r="K52" i="15"/>
  <c r="K57" i="15"/>
  <c r="K59" i="15"/>
  <c r="K60" i="15"/>
  <c r="K61" i="15"/>
  <c r="K62" i="15"/>
  <c r="K63" i="15"/>
  <c r="K64" i="15"/>
  <c r="K65" i="15"/>
  <c r="K66" i="15"/>
  <c r="K67" i="15"/>
  <c r="K68" i="15"/>
  <c r="K70" i="15"/>
  <c r="K71" i="15"/>
  <c r="K72" i="15"/>
  <c r="K73" i="15"/>
  <c r="K74" i="15"/>
  <c r="K75" i="15"/>
  <c r="K76" i="15"/>
  <c r="K77" i="15"/>
  <c r="K78" i="15"/>
  <c r="K79" i="15"/>
  <c r="K81" i="15"/>
  <c r="K82" i="15"/>
  <c r="K83" i="15"/>
  <c r="K84" i="15"/>
  <c r="K85" i="15"/>
  <c r="K86" i="15"/>
  <c r="K87" i="15"/>
  <c r="K88" i="15"/>
  <c r="K89" i="15"/>
  <c r="K90" i="15"/>
  <c r="K92" i="15"/>
  <c r="K93" i="15"/>
  <c r="K94" i="15"/>
  <c r="K95" i="15"/>
  <c r="K96" i="15"/>
  <c r="K97" i="15"/>
  <c r="K98" i="15"/>
  <c r="K99" i="15"/>
  <c r="K100" i="15"/>
  <c r="K101" i="15"/>
  <c r="K103" i="15"/>
  <c r="K104" i="15"/>
  <c r="K105" i="15"/>
  <c r="K106" i="15"/>
  <c r="K107" i="15"/>
  <c r="K108" i="15"/>
  <c r="K109" i="15"/>
  <c r="K110" i="15"/>
  <c r="K111" i="15"/>
  <c r="K112" i="15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7" i="15"/>
  <c r="B57" i="15" s="1"/>
  <c r="C59" i="15"/>
  <c r="B59" i="15" s="1"/>
  <c r="C60" i="15"/>
  <c r="B60" i="15" s="1"/>
  <c r="C61" i="15"/>
  <c r="B61" i="15" s="1"/>
  <c r="C62" i="15"/>
  <c r="B62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70" i="15"/>
  <c r="B70" i="15" s="1"/>
  <c r="C71" i="15"/>
  <c r="B71" i="15" s="1"/>
  <c r="C72" i="15"/>
  <c r="B72" i="15" s="1"/>
  <c r="C73" i="15"/>
  <c r="B73" i="15" s="1"/>
  <c r="C74" i="15"/>
  <c r="B74" i="15" s="1"/>
  <c r="C75" i="15"/>
  <c r="B75" i="15" s="1"/>
  <c r="C76" i="15"/>
  <c r="B76" i="15" s="1"/>
  <c r="C77" i="15"/>
  <c r="B77" i="15" s="1"/>
  <c r="C78" i="15"/>
  <c r="B78" i="15" s="1"/>
  <c r="C79" i="15"/>
  <c r="B79" i="15" s="1"/>
  <c r="C81" i="15"/>
  <c r="B81" i="15" s="1"/>
  <c r="C82" i="15"/>
  <c r="B82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/>
  <c r="AC14" i="13"/>
  <c r="AD14" i="13" s="1"/>
  <c r="AC15" i="13"/>
  <c r="AD15" i="13"/>
  <c r="AC16" i="13"/>
  <c r="AD16" i="13" s="1"/>
  <c r="AC17" i="13"/>
  <c r="AD17" i="13"/>
  <c r="AC18" i="13"/>
  <c r="AD18" i="13" s="1"/>
  <c r="AC19" i="13"/>
  <c r="AD19" i="13"/>
  <c r="AC20" i="13"/>
  <c r="AD20" i="13" s="1"/>
  <c r="AC21" i="13"/>
  <c r="AD21" i="13"/>
  <c r="AC22" i="13"/>
  <c r="AD22" i="13" s="1"/>
  <c r="AC23" i="13"/>
  <c r="AD23" i="13"/>
  <c r="AC24" i="13"/>
  <c r="AD24" i="13" s="1"/>
  <c r="AC25" i="13"/>
  <c r="AD25" i="13"/>
  <c r="AC26" i="13"/>
  <c r="AD26" i="13" s="1"/>
  <c r="AC27" i="13"/>
  <c r="AD27" i="13"/>
  <c r="AC28" i="13"/>
  <c r="AD28" i="13" s="1"/>
  <c r="AC29" i="13"/>
  <c r="AD29" i="13"/>
  <c r="AC30" i="13"/>
  <c r="AD30" i="13" s="1"/>
  <c r="AC31" i="13"/>
  <c r="AD31" i="13"/>
  <c r="AC32" i="13"/>
  <c r="AD32" i="13" s="1"/>
  <c r="AC33" i="13"/>
  <c r="AD33" i="13"/>
  <c r="AC34" i="13"/>
  <c r="AD34" i="13" s="1"/>
  <c r="AC35" i="13"/>
  <c r="AD35" i="13"/>
  <c r="AC36" i="13"/>
  <c r="AD36" i="13" s="1"/>
  <c r="AC37" i="13"/>
  <c r="AD37" i="13"/>
  <c r="AC38" i="13"/>
  <c r="AD38" i="13" s="1"/>
  <c r="AC39" i="13"/>
  <c r="AD39" i="13"/>
  <c r="AC40" i="13"/>
  <c r="AD40" i="13" s="1"/>
  <c r="X8" i="13"/>
  <c r="Y8" i="13"/>
  <c r="X9" i="13"/>
  <c r="Y9" i="13" s="1"/>
  <c r="X10" i="13"/>
  <c r="Y10" i="13"/>
  <c r="X11" i="13"/>
  <c r="Y11" i="13" s="1"/>
  <c r="X12" i="13"/>
  <c r="Y12" i="13"/>
  <c r="X13" i="13"/>
  <c r="Y13" i="13" s="1"/>
  <c r="X14" i="13"/>
  <c r="Y14" i="13"/>
  <c r="X15" i="13"/>
  <c r="Y15" i="13" s="1"/>
  <c r="X16" i="13"/>
  <c r="Y16" i="13"/>
  <c r="X17" i="13"/>
  <c r="Y17" i="13" s="1"/>
  <c r="X18" i="13"/>
  <c r="Y18" i="13"/>
  <c r="X19" i="13"/>
  <c r="Y19" i="13" s="1"/>
  <c r="X20" i="13"/>
  <c r="Y20" i="13"/>
  <c r="X21" i="13"/>
  <c r="Y21" i="13" s="1"/>
  <c r="X22" i="13"/>
  <c r="Y22" i="13"/>
  <c r="X23" i="13"/>
  <c r="Y23" i="13" s="1"/>
  <c r="X24" i="13"/>
  <c r="Y24" i="13"/>
  <c r="X25" i="13"/>
  <c r="Y25" i="13" s="1"/>
  <c r="X26" i="13"/>
  <c r="Y26" i="13"/>
  <c r="X27" i="13"/>
  <c r="Y27" i="13" s="1"/>
  <c r="X28" i="13"/>
  <c r="Y28" i="13"/>
  <c r="X29" i="13"/>
  <c r="Y29" i="13" s="1"/>
  <c r="X30" i="13"/>
  <c r="Y30" i="13"/>
  <c r="X31" i="13"/>
  <c r="Y31" i="13" s="1"/>
  <c r="X32" i="13"/>
  <c r="Y32" i="13"/>
  <c r="X33" i="13"/>
  <c r="Y33" i="13" s="1"/>
  <c r="X34" i="13"/>
  <c r="Y34" i="13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/>
  <c r="A55" i="15" l="1"/>
  <c r="A54" i="15"/>
  <c r="B8" i="15"/>
  <c r="A9" i="15"/>
  <c r="AG36" i="15"/>
  <c r="AB83" i="15"/>
  <c r="AG32" i="15"/>
  <c r="AG85" i="15"/>
  <c r="AG23" i="15"/>
  <c r="AB50" i="15"/>
  <c r="AB42" i="15"/>
  <c r="AG42" i="15"/>
  <c r="AG57" i="15"/>
  <c r="AG74" i="15"/>
  <c r="AB108" i="15"/>
  <c r="AG112" i="15"/>
  <c r="AG104" i="15"/>
  <c r="AB24" i="15"/>
  <c r="AG47" i="15"/>
  <c r="AG46" i="15"/>
  <c r="AB72" i="15"/>
  <c r="AG76" i="15"/>
  <c r="AG71" i="15"/>
  <c r="AB90" i="15"/>
  <c r="AB89" i="15"/>
  <c r="AG89" i="15"/>
  <c r="AG88" i="15"/>
  <c r="AG97" i="15"/>
  <c r="AA28" i="15"/>
  <c r="AB28" i="15" s="1"/>
  <c r="AA20" i="15"/>
  <c r="AB20" i="15" s="1"/>
  <c r="AG27" i="15"/>
  <c r="AG39" i="15"/>
  <c r="AF35" i="15"/>
  <c r="AG35" i="15" s="1"/>
  <c r="AG31" i="15"/>
  <c r="AB46" i="15"/>
  <c r="AG50" i="15"/>
  <c r="AB78" i="15"/>
  <c r="AA74" i="15"/>
  <c r="AB74" i="15" s="1"/>
  <c r="AF78" i="15"/>
  <c r="AG78" i="15" s="1"/>
  <c r="AB85" i="15"/>
  <c r="AG84" i="15"/>
  <c r="AF101" i="15"/>
  <c r="AG101" i="15" s="1"/>
  <c r="AF93" i="15"/>
  <c r="AG93" i="15" s="1"/>
  <c r="AB112" i="15"/>
  <c r="AB104" i="15"/>
  <c r="AG108" i="15"/>
  <c r="AA9" i="19"/>
  <c r="AB9" i="19" s="1"/>
  <c r="AG109" i="15"/>
  <c r="AG105" i="15"/>
  <c r="AB109" i="15"/>
  <c r="AB105" i="15"/>
  <c r="AA103" i="15"/>
  <c r="AB103" i="15" s="1"/>
  <c r="AG98" i="15"/>
  <c r="AG94" i="15"/>
  <c r="AB101" i="15"/>
  <c r="AB97" i="15"/>
  <c r="AB93" i="15"/>
  <c r="AB98" i="15"/>
  <c r="AB94" i="15"/>
  <c r="AF92" i="15"/>
  <c r="AG92" i="15" s="1"/>
  <c r="AG87" i="15"/>
  <c r="AG83" i="15"/>
  <c r="AA88" i="15"/>
  <c r="AB88" i="15" s="1"/>
  <c r="AA84" i="15"/>
  <c r="AB84" i="15" s="1"/>
  <c r="AF81" i="15"/>
  <c r="AG81" i="15" s="1"/>
  <c r="AF77" i="15"/>
  <c r="AG77" i="15" s="1"/>
  <c r="AF73" i="15"/>
  <c r="AG73" i="15" s="1"/>
  <c r="AA77" i="15"/>
  <c r="AB77" i="15" s="1"/>
  <c r="AA73" i="15"/>
  <c r="AB73" i="15" s="1"/>
  <c r="AF70" i="15"/>
  <c r="AG70" i="15" s="1"/>
  <c r="AF59" i="15"/>
  <c r="AG59" i="15" s="1"/>
  <c r="AG49" i="15"/>
  <c r="AG45" i="15"/>
  <c r="AB47" i="15"/>
  <c r="AF41" i="15"/>
  <c r="AG41" i="15" s="1"/>
  <c r="AG38" i="15"/>
  <c r="AG34" i="15"/>
  <c r="AB39" i="15"/>
  <c r="AB35" i="15"/>
  <c r="AB31" i="15"/>
  <c r="AB36" i="15"/>
  <c r="AB32" i="15"/>
  <c r="AF26" i="15"/>
  <c r="AG26" i="15" s="1"/>
  <c r="AF22" i="15"/>
  <c r="AG22" i="15" s="1"/>
  <c r="AB25" i="15"/>
  <c r="AB21" i="15"/>
  <c r="AA19" i="15"/>
  <c r="AB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14" i="15" l="1" a="1"/>
  <c r="AN114" i="15" s="1"/>
  <c r="AL17" i="15" l="1"/>
  <c r="R17" i="15"/>
  <c r="N17" i="15"/>
  <c r="AL16" i="15"/>
  <c r="R16" i="15"/>
  <c r="N16" i="15"/>
  <c r="AN16" i="15" a="1"/>
  <c r="AN16" i="15" s="1"/>
  <c r="AL15" i="15"/>
  <c r="R15" i="15"/>
  <c r="N15" i="15"/>
  <c r="AL32" i="15"/>
  <c r="R32" i="15"/>
  <c r="N32" i="15"/>
  <c r="AL33" i="15"/>
  <c r="R33" i="15"/>
  <c r="N33" i="15"/>
  <c r="I18" i="15"/>
  <c r="AN113" i="15" a="1"/>
  <c r="AN113" i="15" s="1"/>
  <c r="AL28" i="15"/>
  <c r="R28" i="15"/>
  <c r="N28" i="15"/>
  <c r="AL27" i="15"/>
  <c r="R27" i="15"/>
  <c r="N27" i="15"/>
  <c r="AL26" i="15"/>
  <c r="R26" i="15"/>
  <c r="N26" i="15"/>
  <c r="AB17" i="15" l="1"/>
  <c r="O17" i="15"/>
  <c r="AS17" i="15" s="1"/>
  <c r="O15" i="15"/>
  <c r="AS15" i="15" s="1"/>
  <c r="AB16" i="15"/>
  <c r="S16" i="15"/>
  <c r="S15" i="15"/>
  <c r="AG17" i="15"/>
  <c r="AB15" i="15"/>
  <c r="AG15" i="15"/>
  <c r="AG16" i="15"/>
  <c r="S17" i="15"/>
  <c r="AN17" i="15" a="1"/>
  <c r="AN17" i="15" s="1"/>
  <c r="O16" i="15"/>
  <c r="AN15" i="15" a="1"/>
  <c r="AN15" i="15" s="1"/>
  <c r="AN32" i="15" a="1"/>
  <c r="AN32" i="15" s="1"/>
  <c r="S33" i="15"/>
  <c r="S32" i="15"/>
  <c r="O33" i="15"/>
  <c r="AS33" i="15" s="1"/>
  <c r="O32" i="15"/>
  <c r="AR32" i="15" s="1"/>
  <c r="AN33" i="15" a="1"/>
  <c r="AN33" i="15" s="1"/>
  <c r="AN27" i="15" a="1"/>
  <c r="AN27" i="15" s="1"/>
  <c r="O26" i="15"/>
  <c r="AS26" i="15" s="1"/>
  <c r="S28" i="15"/>
  <c r="O28" i="15"/>
  <c r="AS28" i="15" s="1"/>
  <c r="O27" i="15"/>
  <c r="AR27" i="15" s="1"/>
  <c r="AN28" i="15" a="1"/>
  <c r="AN28" i="15" s="1"/>
  <c r="AN26" i="15" a="1"/>
  <c r="AN26" i="15" s="1"/>
  <c r="S26" i="15"/>
  <c r="S27" i="15"/>
  <c r="AL57" i="15"/>
  <c r="Q11" i="19"/>
  <c r="R57" i="15"/>
  <c r="N57" i="15"/>
  <c r="AL50" i="15"/>
  <c r="R50" i="15"/>
  <c r="N50" i="15"/>
  <c r="AL39" i="15"/>
  <c r="R39" i="15"/>
  <c r="N39" i="15"/>
  <c r="AL25" i="15"/>
  <c r="R25" i="15"/>
  <c r="N25" i="15"/>
  <c r="O57" i="15" l="1"/>
  <c r="AR57" i="15" s="1"/>
  <c r="AR17" i="15"/>
  <c r="AR15" i="15"/>
  <c r="AR16" i="15"/>
  <c r="AS16" i="15"/>
  <c r="AR33" i="15"/>
  <c r="AS32" i="15"/>
  <c r="AR26" i="15"/>
  <c r="AR28" i="15"/>
  <c r="AS27" i="15"/>
  <c r="S25" i="15"/>
  <c r="S50" i="15"/>
  <c r="S57" i="15"/>
  <c r="AN57" i="15" a="1"/>
  <c r="AN57" i="15" s="1"/>
  <c r="O50" i="15"/>
  <c r="AS50" i="15" s="1"/>
  <c r="AN50" i="15" a="1"/>
  <c r="AN50" i="15" s="1"/>
  <c r="S39" i="15"/>
  <c r="O39" i="15"/>
  <c r="AS39" i="15" s="1"/>
  <c r="AN39" i="15" a="1"/>
  <c r="AN39" i="15" s="1"/>
  <c r="O25" i="15"/>
  <c r="AS25" i="15" s="1"/>
  <c r="AN25" i="15" a="1"/>
  <c r="AN25" i="15" s="1"/>
  <c r="AS57" i="15" l="1"/>
  <c r="AR50" i="15"/>
  <c r="AR25" i="15"/>
  <c r="AR39" i="15"/>
  <c r="AL101" i="15" l="1"/>
  <c r="R101" i="15"/>
  <c r="N101" i="15"/>
  <c r="AL100" i="15"/>
  <c r="R100" i="15"/>
  <c r="N100" i="15"/>
  <c r="AL99" i="15"/>
  <c r="R99" i="15"/>
  <c r="N99" i="15"/>
  <c r="O101" i="15" l="1"/>
  <c r="O99" i="15"/>
  <c r="O100" i="15"/>
  <c r="S101" i="15"/>
  <c r="AN99" i="15" a="1"/>
  <c r="AN99" i="15" s="1"/>
  <c r="S100" i="15"/>
  <c r="AN100" i="15" a="1"/>
  <c r="AN100" i="15" s="1"/>
  <c r="AN101" i="15" a="1"/>
  <c r="AN101" i="15" s="1"/>
  <c r="S99" i="15"/>
  <c r="R31" i="15"/>
  <c r="R14" i="15"/>
  <c r="N12" i="15"/>
  <c r="N8" i="15"/>
  <c r="R8" i="15"/>
  <c r="S8" i="15" l="1"/>
  <c r="AR100" i="15"/>
  <c r="AS100" i="15"/>
  <c r="AR101" i="15"/>
  <c r="AS101" i="15"/>
  <c r="AR99" i="15"/>
  <c r="AS99" i="15"/>
  <c r="O8" i="15"/>
  <c r="AS8" i="15" l="1"/>
  <c r="AR8" i="15"/>
  <c r="R86" i="15" l="1"/>
  <c r="R87" i="15"/>
  <c r="R88" i="15"/>
  <c r="R89" i="15"/>
  <c r="R90" i="15"/>
  <c r="N86" i="15"/>
  <c r="N87" i="15"/>
  <c r="N88" i="15"/>
  <c r="N89" i="15"/>
  <c r="N90" i="15"/>
  <c r="C24" i="19"/>
  <c r="AN24" i="19" s="1" a="1"/>
  <c r="AN24" i="19" s="1"/>
  <c r="C25" i="19"/>
  <c r="AN25" i="19" s="1" a="1"/>
  <c r="AN25" i="19" s="1"/>
  <c r="AI25" i="19"/>
  <c r="AE25" i="19"/>
  <c r="AF25" i="19" s="1"/>
  <c r="AG25" i="19" s="1"/>
  <c r="Z25" i="19"/>
  <c r="AA25" i="19" s="1"/>
  <c r="AB25" i="19" s="1"/>
  <c r="R25" i="19"/>
  <c r="N25" i="19"/>
  <c r="K25" i="19"/>
  <c r="AI24" i="19"/>
  <c r="AE24" i="19"/>
  <c r="AF24" i="19" s="1"/>
  <c r="AG24" i="19" s="1"/>
  <c r="Z24" i="19"/>
  <c r="R24" i="19"/>
  <c r="N24" i="19"/>
  <c r="K24" i="19"/>
  <c r="S88" i="15" l="1"/>
  <c r="S90" i="15"/>
  <c r="S86" i="15"/>
  <c r="S87" i="15"/>
  <c r="S89" i="15"/>
  <c r="O25" i="19"/>
  <c r="O88" i="15"/>
  <c r="O24" i="19"/>
  <c r="O87" i="15"/>
  <c r="O90" i="15"/>
  <c r="O86" i="15"/>
  <c r="O89" i="15"/>
  <c r="AL24" i="19"/>
  <c r="AL25" i="19"/>
  <c r="S24" i="19"/>
  <c r="S25" i="19"/>
  <c r="AA24" i="19"/>
  <c r="AB24" i="19" s="1"/>
  <c r="AL86" i="15"/>
  <c r="AL87" i="15"/>
  <c r="AL88" i="15"/>
  <c r="AL89" i="15"/>
  <c r="AL90" i="15"/>
  <c r="AR87" i="15" l="1"/>
  <c r="AS87" i="15"/>
  <c r="AR89" i="15"/>
  <c r="AS89" i="15"/>
  <c r="AR86" i="15"/>
  <c r="AS86" i="15"/>
  <c r="AR90" i="15"/>
  <c r="AS90" i="15"/>
  <c r="AR88" i="15"/>
  <c r="AS88" i="15"/>
  <c r="AL85" i="15" l="1"/>
  <c r="R85" i="15"/>
  <c r="N85" i="15"/>
  <c r="AL84" i="15"/>
  <c r="R84" i="15"/>
  <c r="N84" i="15"/>
  <c r="AL83" i="15"/>
  <c r="R83" i="15"/>
  <c r="N83" i="15"/>
  <c r="AL82" i="15"/>
  <c r="R82" i="15"/>
  <c r="N82" i="15"/>
  <c r="O83" i="15" l="1"/>
  <c r="O82" i="15"/>
  <c r="O85" i="15"/>
  <c r="O84" i="15"/>
  <c r="AN85" i="15" a="1"/>
  <c r="AN85" i="15" s="1"/>
  <c r="AN84" i="15" a="1"/>
  <c r="AN84" i="15" s="1"/>
  <c r="S82" i="15"/>
  <c r="S85" i="15"/>
  <c r="AN83" i="15" a="1"/>
  <c r="AN83" i="15" s="1"/>
  <c r="AN82" i="15" a="1"/>
  <c r="AN82" i="15" s="1"/>
  <c r="S84" i="15"/>
  <c r="S83" i="15"/>
  <c r="AR84" i="15" l="1"/>
  <c r="AS84" i="15"/>
  <c r="AR85" i="15"/>
  <c r="AS85" i="15"/>
  <c r="AR82" i="15"/>
  <c r="AS82" i="15"/>
  <c r="AR83" i="15"/>
  <c r="AS83" i="15"/>
  <c r="AI8" i="15" l="1"/>
  <c r="AK56" i="15" s="1"/>
  <c r="AK55" i="15" l="1"/>
  <c r="AK54" i="15"/>
  <c r="AK15" i="15"/>
  <c r="AK16" i="15"/>
  <c r="AK17" i="15"/>
  <c r="AK33" i="15"/>
  <c r="AK32" i="15"/>
  <c r="AK27" i="15"/>
  <c r="AK28" i="15"/>
  <c r="AK26" i="15"/>
  <c r="AK57" i="15"/>
  <c r="AK25" i="15"/>
  <c r="AK39" i="15"/>
  <c r="AK50" i="15"/>
  <c r="AK100" i="15"/>
  <c r="AK99" i="15"/>
  <c r="AK101" i="15"/>
  <c r="AK86" i="15"/>
  <c r="AK88" i="15"/>
  <c r="AK90" i="15"/>
  <c r="AK87" i="15"/>
  <c r="AK89" i="15"/>
  <c r="AK83" i="15"/>
  <c r="AK84" i="15"/>
  <c r="AK85" i="15"/>
  <c r="AK82" i="15"/>
  <c r="X12" i="18" l="1"/>
  <c r="Y12" i="18" s="1"/>
  <c r="Z21" i="19"/>
  <c r="AA21" i="19" s="1"/>
  <c r="Z20" i="19"/>
  <c r="AA2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Z12" i="19"/>
  <c r="AA12" i="19" s="1"/>
  <c r="AI18" i="19"/>
  <c r="AE18" i="19"/>
  <c r="AF18" i="19" s="1"/>
  <c r="R18" i="19"/>
  <c r="N18" i="19"/>
  <c r="K18" i="19"/>
  <c r="C18" i="19"/>
  <c r="AN18" i="19" s="1" a="1"/>
  <c r="AN18" i="19" s="1"/>
  <c r="AI17" i="19"/>
  <c r="AE17" i="19"/>
  <c r="AF17" i="19" s="1"/>
  <c r="AG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R15" i="19"/>
  <c r="N15" i="19"/>
  <c r="K15" i="19"/>
  <c r="C15" i="19"/>
  <c r="AN15" i="19" s="1" a="1"/>
  <c r="AN15" i="19" s="1"/>
  <c r="AI14" i="19"/>
  <c r="AE14" i="19"/>
  <c r="AF14" i="19" s="1"/>
  <c r="AG14" i="19" s="1"/>
  <c r="R14" i="19"/>
  <c r="N14" i="19"/>
  <c r="K14" i="19"/>
  <c r="C14" i="19"/>
  <c r="AN14" i="19" s="1" a="1"/>
  <c r="AN14" i="19" s="1"/>
  <c r="AI13" i="19"/>
  <c r="AE13" i="19"/>
  <c r="R13" i="19"/>
  <c r="N13" i="19"/>
  <c r="K13" i="19"/>
  <c r="C13" i="19"/>
  <c r="AN13" i="19" s="1" a="1"/>
  <c r="AN13" i="19" s="1"/>
  <c r="AI21" i="19"/>
  <c r="AE21" i="19"/>
  <c r="AF21" i="19" s="1"/>
  <c r="R21" i="19"/>
  <c r="N21" i="19"/>
  <c r="K21" i="19"/>
  <c r="C21" i="19"/>
  <c r="AN21" i="19" s="1" a="1"/>
  <c r="AN21" i="19" s="1"/>
  <c r="AI20" i="19"/>
  <c r="AE20" i="19"/>
  <c r="R20" i="19"/>
  <c r="N20" i="19"/>
  <c r="K20" i="19"/>
  <c r="C20" i="19"/>
  <c r="AN20" i="19" s="1" a="1"/>
  <c r="AN20" i="19" s="1"/>
  <c r="AI19" i="19"/>
  <c r="AE19" i="19"/>
  <c r="AF19" i="19" s="1"/>
  <c r="R19" i="19"/>
  <c r="N19" i="19"/>
  <c r="K19" i="19"/>
  <c r="C19" i="19"/>
  <c r="AN19" i="19" s="1" a="1"/>
  <c r="AN19" i="19" s="1"/>
  <c r="C12" i="19"/>
  <c r="AB21" i="19" l="1"/>
  <c r="O21" i="19"/>
  <c r="O13" i="19"/>
  <c r="O15" i="19"/>
  <c r="O17" i="19"/>
  <c r="O18" i="19"/>
  <c r="O20" i="19"/>
  <c r="O14" i="19"/>
  <c r="O16" i="19"/>
  <c r="O19" i="19"/>
  <c r="AG21" i="19"/>
  <c r="AB14" i="19"/>
  <c r="AB16" i="19"/>
  <c r="AB13" i="19"/>
  <c r="AB17" i="19"/>
  <c r="S18" i="19"/>
  <c r="S19" i="19"/>
  <c r="S20" i="19"/>
  <c r="S21" i="19"/>
  <c r="S15" i="19"/>
  <c r="AL19" i="19"/>
  <c r="AL20" i="19"/>
  <c r="AG15" i="19"/>
  <c r="AG18" i="19"/>
  <c r="AL21" i="19"/>
  <c r="AL13" i="19"/>
  <c r="AL14" i="19"/>
  <c r="AL15" i="19"/>
  <c r="AL16" i="19"/>
  <c r="AL17" i="19"/>
  <c r="AL18" i="19"/>
  <c r="AB20" i="19"/>
  <c r="S14" i="19"/>
  <c r="S16" i="19"/>
  <c r="S17" i="19"/>
  <c r="AB18" i="19"/>
  <c r="S13" i="19"/>
  <c r="AG16" i="19"/>
  <c r="AB15" i="19"/>
  <c r="AF13" i="19"/>
  <c r="AG13" i="19" s="1"/>
  <c r="AB19" i="19"/>
  <c r="AG19" i="19"/>
  <c r="AF20" i="19"/>
  <c r="AG20" i="19" s="1"/>
  <c r="AL68" i="15" l="1"/>
  <c r="AK68" i="15"/>
  <c r="R68" i="15"/>
  <c r="N68" i="15"/>
  <c r="AL67" i="15"/>
  <c r="AK67" i="15"/>
  <c r="R67" i="15"/>
  <c r="N67" i="15"/>
  <c r="AL66" i="15"/>
  <c r="AK66" i="15"/>
  <c r="AG66" i="15"/>
  <c r="R66" i="15"/>
  <c r="N66" i="15"/>
  <c r="AL65" i="15"/>
  <c r="AK65" i="15"/>
  <c r="R65" i="15"/>
  <c r="N65" i="15"/>
  <c r="AL64" i="15"/>
  <c r="AK64" i="15"/>
  <c r="R64" i="15"/>
  <c r="N64" i="15"/>
  <c r="AL63" i="15"/>
  <c r="AK63" i="15"/>
  <c r="R63" i="15"/>
  <c r="N63" i="15"/>
  <c r="AL62" i="15"/>
  <c r="AK62" i="15"/>
  <c r="AG62" i="15"/>
  <c r="R62" i="15"/>
  <c r="N62" i="15"/>
  <c r="AL61" i="15"/>
  <c r="AK61" i="15"/>
  <c r="R61" i="15"/>
  <c r="N61" i="15"/>
  <c r="AL60" i="15"/>
  <c r="AK60" i="15"/>
  <c r="R60" i="15"/>
  <c r="N60" i="15"/>
  <c r="O64" i="15" l="1"/>
  <c r="AR64" i="15" s="1"/>
  <c r="O60" i="15"/>
  <c r="O67" i="15"/>
  <c r="O68" i="15"/>
  <c r="O63" i="15"/>
  <c r="O65" i="15"/>
  <c r="O66" i="15"/>
  <c r="O61" i="15"/>
  <c r="O62" i="15"/>
  <c r="AB68" i="15"/>
  <c r="AG67" i="15"/>
  <c r="AB60" i="15"/>
  <c r="AB64" i="15"/>
  <c r="AB65" i="15"/>
  <c r="S62" i="15"/>
  <c r="AB61" i="15"/>
  <c r="AN61" i="15" a="1"/>
  <c r="AN61" i="15" s="1"/>
  <c r="AN62" i="15" a="1"/>
  <c r="AN62" i="15" s="1"/>
  <c r="AN63" i="15" a="1"/>
  <c r="AN63" i="15" s="1"/>
  <c r="S65" i="15"/>
  <c r="S68" i="15"/>
  <c r="AN68" i="15" a="1"/>
  <c r="AN68" i="15" s="1"/>
  <c r="S60" i="15"/>
  <c r="AG63" i="15"/>
  <c r="AN65" i="15" a="1"/>
  <c r="AN65" i="15" s="1"/>
  <c r="S66" i="15"/>
  <c r="AG61" i="15"/>
  <c r="AG65" i="15"/>
  <c r="AB62" i="15"/>
  <c r="S64" i="15"/>
  <c r="AB66" i="15"/>
  <c r="S61" i="15"/>
  <c r="AN64" i="15" a="1"/>
  <c r="AN64" i="15" s="1"/>
  <c r="AN67" i="15" a="1"/>
  <c r="AN67" i="15" s="1"/>
  <c r="S67" i="15"/>
  <c r="AN66" i="15" a="1"/>
  <c r="AN66" i="15" s="1"/>
  <c r="AN60" i="15" a="1"/>
  <c r="AN60" i="15" s="1"/>
  <c r="S63" i="15"/>
  <c r="AG60" i="15"/>
  <c r="AB63" i="15"/>
  <c r="AG64" i="15"/>
  <c r="AB67" i="15"/>
  <c r="AG68" i="15"/>
  <c r="AS64" i="15" l="1"/>
  <c r="AR60" i="15"/>
  <c r="AS60" i="15"/>
  <c r="AR66" i="15"/>
  <c r="AS66" i="15"/>
  <c r="AR63" i="15"/>
  <c r="AS63" i="15"/>
  <c r="AR62" i="15"/>
  <c r="AS62" i="15"/>
  <c r="AR65" i="15"/>
  <c r="AS65" i="15"/>
  <c r="AR68" i="15"/>
  <c r="AS68" i="15"/>
  <c r="AR61" i="15"/>
  <c r="AS61" i="15"/>
  <c r="AR67" i="15"/>
  <c r="AS67" i="15"/>
  <c r="AI12" i="19" l="1"/>
  <c r="AE12" i="19"/>
  <c r="AF12" i="19" s="1"/>
  <c r="AG12" i="19" s="1"/>
  <c r="AI10" i="19"/>
  <c r="AE10" i="19"/>
  <c r="Z10" i="19"/>
  <c r="AA10" i="19" s="1"/>
  <c r="AB10" i="19" s="1"/>
  <c r="AI8" i="19"/>
  <c r="AE8" i="19"/>
  <c r="AF8" i="19" s="1"/>
  <c r="AG8" i="19" s="1"/>
  <c r="Z8" i="19"/>
  <c r="AC8" i="18"/>
  <c r="X8" i="18"/>
  <c r="Y8" i="18" s="1"/>
  <c r="AG14" i="15"/>
  <c r="AG13" i="15"/>
  <c r="AG12" i="15"/>
  <c r="AE8" i="15"/>
  <c r="AF8" i="15" s="1"/>
  <c r="AB10" i="15"/>
  <c r="AB13" i="15"/>
  <c r="Z8" i="15"/>
  <c r="AA8" i="15" s="1"/>
  <c r="AB8" i="15" s="1"/>
  <c r="AE18" i="13"/>
  <c r="AE14" i="13"/>
  <c r="AE10" i="13"/>
  <c r="AC7" i="13"/>
  <c r="AD7" i="13" s="1"/>
  <c r="Z17" i="13"/>
  <c r="Z14" i="13"/>
  <c r="Z13" i="13"/>
  <c r="Z10" i="13"/>
  <c r="Z9" i="13"/>
  <c r="X7" i="13"/>
  <c r="Y7" i="13" s="1"/>
  <c r="AE13" i="13" l="1"/>
  <c r="AE17" i="13"/>
  <c r="Z16" i="13"/>
  <c r="Z18" i="13"/>
  <c r="Z12" i="13"/>
  <c r="AE9" i="13"/>
  <c r="Z8" i="13"/>
  <c r="AA8" i="19"/>
  <c r="AB8" i="19" s="1"/>
  <c r="AF10" i="19"/>
  <c r="AG10" i="19" s="1"/>
  <c r="AB12" i="19"/>
  <c r="Z8" i="18"/>
  <c r="AD8" i="18"/>
  <c r="AE8" i="18" s="1"/>
  <c r="AB9" i="15"/>
  <c r="AG8" i="15"/>
  <c r="AB11" i="15"/>
  <c r="AG10" i="15"/>
  <c r="AG9" i="15"/>
  <c r="AG11" i="15"/>
  <c r="AB12" i="15"/>
  <c r="AB14" i="15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26" i="19" l="1"/>
  <c r="C23" i="19"/>
  <c r="C10" i="19"/>
  <c r="A60" i="15" l="1"/>
  <c r="A61" i="15"/>
  <c r="A66" i="15"/>
  <c r="A64" i="15"/>
  <c r="A62" i="15"/>
  <c r="A65" i="15"/>
  <c r="A68" i="15"/>
  <c r="A63" i="15"/>
  <c r="A67" i="15"/>
  <c r="A104" i="15"/>
  <c r="A74" i="15"/>
  <c r="A105" i="15"/>
  <c r="A93" i="15"/>
  <c r="A75" i="15"/>
  <c r="A72" i="15"/>
  <c r="A73" i="15"/>
  <c r="A13" i="15"/>
  <c r="A36" i="15"/>
  <c r="A21" i="15"/>
  <c r="A108" i="15"/>
  <c r="A96" i="15"/>
  <c r="A84" i="15"/>
  <c r="A78" i="15"/>
  <c r="A42" i="15"/>
  <c r="A33" i="15"/>
  <c r="A20" i="15"/>
  <c r="A12" i="15"/>
  <c r="A109" i="15"/>
  <c r="A97" i="15"/>
  <c r="A85" i="15"/>
  <c r="A79" i="15"/>
  <c r="A106" i="15"/>
  <c r="A94" i="15"/>
  <c r="A82" i="15"/>
  <c r="A76" i="15"/>
  <c r="A31" i="15"/>
  <c r="A10" i="15"/>
  <c r="A107" i="15"/>
  <c r="A95" i="15"/>
  <c r="A83" i="15"/>
  <c r="A77" i="15"/>
  <c r="A38" i="15"/>
  <c r="A49" i="15"/>
  <c r="A27" i="15"/>
  <c r="A23" i="15"/>
  <c r="A25" i="15"/>
  <c r="A100" i="15"/>
  <c r="A88" i="15"/>
  <c r="A46" i="15"/>
  <c r="A37" i="15"/>
  <c r="A24" i="15"/>
  <c r="A16" i="15"/>
  <c r="A112" i="15"/>
  <c r="A101" i="15"/>
  <c r="A89" i="15"/>
  <c r="A110" i="15"/>
  <c r="A98" i="15"/>
  <c r="A86" i="15"/>
  <c r="A44" i="15"/>
  <c r="A35" i="15"/>
  <c r="A22" i="15"/>
  <c r="A14" i="15"/>
  <c r="A111" i="15"/>
  <c r="A99" i="15"/>
  <c r="A87" i="15"/>
  <c r="A32" i="15"/>
  <c r="A11" i="15"/>
  <c r="A43" i="15"/>
  <c r="A15" i="15"/>
  <c r="A47" i="15"/>
  <c r="A17" i="15"/>
  <c r="A50" i="15"/>
  <c r="A28" i="15"/>
  <c r="A71" i="15"/>
  <c r="A90" i="15"/>
  <c r="A48" i="15"/>
  <c r="A39" i="15"/>
  <c r="A26" i="15"/>
  <c r="A45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03" i="15"/>
  <c r="A81" i="15"/>
  <c r="A30" i="15"/>
  <c r="A19" i="15"/>
  <c r="A70" i="15"/>
  <c r="A92" i="15"/>
  <c r="A59" i="15"/>
  <c r="A41" i="15"/>
  <c r="AN36" i="15" a="1"/>
  <c r="AN36" i="15" s="1"/>
  <c r="AN37" i="15" a="1"/>
  <c r="AN37" i="15" s="1"/>
  <c r="AN110" i="15" a="1"/>
  <c r="AN110" i="15" s="1"/>
  <c r="AN112" i="15" a="1"/>
  <c r="AN112" i="15" s="1"/>
  <c r="AN111" i="15" a="1"/>
  <c r="AN111" i="15" s="1"/>
  <c r="AN30" i="15" a="1"/>
  <c r="AN30" i="15" s="1"/>
  <c r="AN35" i="15" a="1"/>
  <c r="AN35" i="15" s="1"/>
  <c r="AN38" i="15" a="1"/>
  <c r="AN38" i="15" s="1"/>
  <c r="AN34" i="15" a="1"/>
  <c r="AN34" i="15" s="1"/>
  <c r="AN49" i="15" a="1"/>
  <c r="AN49" i="15" s="1"/>
  <c r="R49" i="15"/>
  <c r="N49" i="15"/>
  <c r="O49" i="15" l="1"/>
  <c r="S49" i="15"/>
  <c r="AL49" i="15"/>
  <c r="AN22" i="15" a="1"/>
  <c r="AN22" i="15" s="1"/>
  <c r="AL22" i="15"/>
  <c r="R22" i="15"/>
  <c r="N22" i="15"/>
  <c r="AN23" i="15" a="1"/>
  <c r="AN23" i="15" s="1"/>
  <c r="AL23" i="15"/>
  <c r="R23" i="15"/>
  <c r="N23" i="15"/>
  <c r="AN24" i="15" a="1"/>
  <c r="AN24" i="15" s="1"/>
  <c r="AL24" i="15"/>
  <c r="R24" i="15"/>
  <c r="N24" i="15"/>
  <c r="AN81" i="15" a="1"/>
  <c r="AN81" i="15" s="1"/>
  <c r="AL81" i="15"/>
  <c r="R81" i="15"/>
  <c r="N81" i="15"/>
  <c r="AN79" i="15" a="1"/>
  <c r="AN79" i="15" s="1"/>
  <c r="AL79" i="15"/>
  <c r="R79" i="15"/>
  <c r="N79" i="15"/>
  <c r="AN78" i="15" a="1"/>
  <c r="AN78" i="15" s="1"/>
  <c r="R78" i="15"/>
  <c r="N78" i="15"/>
  <c r="AN46" i="15" a="1"/>
  <c r="AN46" i="15" s="1"/>
  <c r="AL46" i="15"/>
  <c r="R46" i="15"/>
  <c r="N46" i="15"/>
  <c r="AN45" i="15" a="1"/>
  <c r="AN45" i="15" s="1"/>
  <c r="AL45" i="15"/>
  <c r="R45" i="15"/>
  <c r="N45" i="15"/>
  <c r="AN47" i="15" a="1"/>
  <c r="AN47" i="15" s="1"/>
  <c r="R47" i="15"/>
  <c r="N47" i="15"/>
  <c r="AN14" i="15" a="1"/>
  <c r="AN14" i="15" s="1"/>
  <c r="N14" i="15"/>
  <c r="O14" i="15" s="1"/>
  <c r="AN11" i="15" a="1"/>
  <c r="AN11" i="15" s="1"/>
  <c r="AL11" i="15"/>
  <c r="R11" i="15"/>
  <c r="N11" i="15"/>
  <c r="AN13" i="15" a="1"/>
  <c r="AN13" i="15" s="1"/>
  <c r="AL13" i="15"/>
  <c r="R13" i="15"/>
  <c r="N13" i="15"/>
  <c r="AR14" i="15" l="1"/>
  <c r="AS14" i="15"/>
  <c r="AR49" i="15"/>
  <c r="AS49" i="15"/>
  <c r="O11" i="15"/>
  <c r="O22" i="15"/>
  <c r="O78" i="15"/>
  <c r="O79" i="15"/>
  <c r="O46" i="15"/>
  <c r="O24" i="15"/>
  <c r="O23" i="15"/>
  <c r="O81" i="15"/>
  <c r="O13" i="15"/>
  <c r="O47" i="15"/>
  <c r="O45" i="15"/>
  <c r="S13" i="15"/>
  <c r="S14" i="15"/>
  <c r="S23" i="15"/>
  <c r="S24" i="15"/>
  <c r="S81" i="15"/>
  <c r="S22" i="15"/>
  <c r="S46" i="15"/>
  <c r="S78" i="15"/>
  <c r="S79" i="15"/>
  <c r="S47" i="15"/>
  <c r="S45" i="15"/>
  <c r="S11" i="15"/>
  <c r="AL78" i="15"/>
  <c r="AL47" i="15"/>
  <c r="AL14" i="15"/>
  <c r="AR22" i="15" l="1"/>
  <c r="AS22" i="15"/>
  <c r="AR11" i="15"/>
  <c r="AS11" i="15"/>
  <c r="AR81" i="15"/>
  <c r="AS81" i="15"/>
  <c r="AR46" i="15"/>
  <c r="AS46" i="15"/>
  <c r="AR45" i="15"/>
  <c r="AS45" i="15"/>
  <c r="AR79" i="15"/>
  <c r="AS79" i="15"/>
  <c r="AR47" i="15"/>
  <c r="AS47" i="15"/>
  <c r="AR78" i="15"/>
  <c r="AS78" i="15"/>
  <c r="AR23" i="15"/>
  <c r="AS23" i="15"/>
  <c r="AR13" i="15"/>
  <c r="AS13" i="15"/>
  <c r="AR24" i="15"/>
  <c r="AS24" i="15"/>
  <c r="AL10" i="19"/>
  <c r="R94" i="15"/>
  <c r="R92" i="15"/>
  <c r="N92" i="15"/>
  <c r="R59" i="15"/>
  <c r="N59" i="15"/>
  <c r="N52" i="15"/>
  <c r="R52" i="15"/>
  <c r="R41" i="15"/>
  <c r="N41" i="15"/>
  <c r="N31" i="15"/>
  <c r="O31" i="15" s="1"/>
  <c r="R19" i="15"/>
  <c r="N19" i="15"/>
  <c r="M18" i="15"/>
  <c r="N9" i="15"/>
  <c r="N10" i="15"/>
  <c r="N20" i="15"/>
  <c r="N21" i="15"/>
  <c r="N30" i="15"/>
  <c r="N34" i="15"/>
  <c r="N35" i="15"/>
  <c r="N36" i="15"/>
  <c r="N37" i="15"/>
  <c r="N38" i="15"/>
  <c r="N42" i="15"/>
  <c r="N43" i="15"/>
  <c r="N44" i="15"/>
  <c r="N48" i="15"/>
  <c r="N70" i="15"/>
  <c r="N71" i="15"/>
  <c r="N72" i="15"/>
  <c r="N73" i="15"/>
  <c r="N74" i="15"/>
  <c r="N75" i="15"/>
  <c r="N76" i="15"/>
  <c r="N77" i="15"/>
  <c r="N94" i="15"/>
  <c r="N96" i="15"/>
  <c r="N93" i="15"/>
  <c r="N95" i="15"/>
  <c r="N97" i="15"/>
  <c r="N98" i="15"/>
  <c r="N103" i="15"/>
  <c r="N104" i="15"/>
  <c r="N105" i="15"/>
  <c r="N106" i="15"/>
  <c r="N107" i="15"/>
  <c r="N108" i="15"/>
  <c r="N109" i="15"/>
  <c r="N110" i="15"/>
  <c r="N111" i="15"/>
  <c r="N112" i="15"/>
  <c r="R9" i="15"/>
  <c r="R12" i="15"/>
  <c r="O12" i="15" s="1"/>
  <c r="R10" i="15"/>
  <c r="R20" i="15"/>
  <c r="R21" i="15"/>
  <c r="R30" i="15"/>
  <c r="R34" i="15"/>
  <c r="R35" i="15"/>
  <c r="R36" i="15"/>
  <c r="R37" i="15"/>
  <c r="R38" i="15"/>
  <c r="R42" i="15"/>
  <c r="R43" i="15"/>
  <c r="R44" i="15"/>
  <c r="R48" i="15"/>
  <c r="R70" i="15"/>
  <c r="R71" i="15"/>
  <c r="R72" i="15"/>
  <c r="R73" i="15"/>
  <c r="R74" i="15"/>
  <c r="R75" i="15"/>
  <c r="R76" i="15"/>
  <c r="R77" i="15"/>
  <c r="R96" i="15"/>
  <c r="R93" i="15"/>
  <c r="R95" i="15"/>
  <c r="R97" i="15"/>
  <c r="R98" i="15"/>
  <c r="R103" i="15"/>
  <c r="R104" i="15"/>
  <c r="R105" i="15"/>
  <c r="R106" i="15"/>
  <c r="R107" i="15"/>
  <c r="R108" i="15"/>
  <c r="R109" i="15"/>
  <c r="R110" i="15"/>
  <c r="R111" i="15"/>
  <c r="R112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26" i="19"/>
  <c r="N26" i="19"/>
  <c r="R23" i="19"/>
  <c r="N23" i="19"/>
  <c r="R12" i="19"/>
  <c r="N12" i="19"/>
  <c r="R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23" i="19"/>
  <c r="O8" i="19"/>
  <c r="O12" i="19"/>
  <c r="AR12" i="15"/>
  <c r="AS12" i="15"/>
  <c r="AR31" i="15"/>
  <c r="AS31" i="15"/>
  <c r="F8" i="25"/>
  <c r="N7" i="15"/>
  <c r="O77" i="15"/>
  <c r="O71" i="15"/>
  <c r="O111" i="15"/>
  <c r="O107" i="15"/>
  <c r="O103" i="15"/>
  <c r="O95" i="15"/>
  <c r="O26" i="19"/>
  <c r="O48" i="15"/>
  <c r="O35" i="15"/>
  <c r="O21" i="15"/>
  <c r="O76" i="15"/>
  <c r="O70" i="15"/>
  <c r="O9" i="15"/>
  <c r="O74" i="15"/>
  <c r="O72" i="15"/>
  <c r="O42" i="15"/>
  <c r="O112" i="15"/>
  <c r="O108" i="15"/>
  <c r="O104" i="15"/>
  <c r="O97" i="15"/>
  <c r="O110" i="15"/>
  <c r="O106" i="15"/>
  <c r="O43" i="15"/>
  <c r="O37" i="15"/>
  <c r="O30" i="15"/>
  <c r="O93" i="15"/>
  <c r="O41" i="15"/>
  <c r="O36" i="15"/>
  <c r="O10" i="15"/>
  <c r="O19" i="15"/>
  <c r="O52" i="15"/>
  <c r="O59" i="15"/>
  <c r="O92" i="15"/>
  <c r="O94" i="15"/>
  <c r="O75" i="15"/>
  <c r="O73" i="15"/>
  <c r="O109" i="15"/>
  <c r="O105" i="15"/>
  <c r="O98" i="15"/>
  <c r="O96" i="15"/>
  <c r="O44" i="15"/>
  <c r="O38" i="15"/>
  <c r="O34" i="15"/>
  <c r="O20" i="15"/>
  <c r="S94" i="15"/>
  <c r="Q37" i="13"/>
  <c r="Q33" i="13"/>
  <c r="Q29" i="13"/>
  <c r="Q25" i="13"/>
  <c r="Q21" i="13"/>
  <c r="Q17" i="13"/>
  <c r="Q13" i="13"/>
  <c r="S98" i="15"/>
  <c r="S93" i="15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S74" i="15"/>
  <c r="S37" i="15"/>
  <c r="S30" i="15"/>
  <c r="S43" i="15"/>
  <c r="S97" i="15"/>
  <c r="S95" i="15"/>
  <c r="S77" i="15"/>
  <c r="S75" i="15"/>
  <c r="S76" i="15"/>
  <c r="S42" i="15"/>
  <c r="S36" i="15"/>
  <c r="S48" i="15"/>
  <c r="S35" i="15"/>
  <c r="S10" i="15"/>
  <c r="S44" i="15"/>
  <c r="S38" i="15"/>
  <c r="S34" i="15"/>
  <c r="S21" i="15"/>
  <c r="S12" i="15"/>
  <c r="S111" i="15"/>
  <c r="S107" i="15"/>
  <c r="S110" i="15"/>
  <c r="S106" i="15"/>
  <c r="S109" i="15"/>
  <c r="S105" i="15"/>
  <c r="S112" i="15"/>
  <c r="S108" i="15"/>
  <c r="S104" i="15"/>
  <c r="S71" i="15"/>
  <c r="S73" i="15"/>
  <c r="S72" i="15"/>
  <c r="Q9" i="13"/>
  <c r="S20" i="15"/>
  <c r="S9" i="15"/>
  <c r="S96" i="15"/>
  <c r="R102" i="15"/>
  <c r="N40" i="15"/>
  <c r="N29" i="15"/>
  <c r="R69" i="15"/>
  <c r="R91" i="15"/>
  <c r="R51" i="15"/>
  <c r="R29" i="15"/>
  <c r="N102" i="15"/>
  <c r="N58" i="15"/>
  <c r="N18" i="15"/>
  <c r="N69" i="15"/>
  <c r="R80" i="15"/>
  <c r="R58" i="15"/>
  <c r="R40" i="15"/>
  <c r="N91" i="15"/>
  <c r="N80" i="15"/>
  <c r="N51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29" i="15" l="1"/>
  <c r="O22" i="19"/>
  <c r="O11" i="19"/>
  <c r="AR44" i="15"/>
  <c r="AS44" i="15"/>
  <c r="AR109" i="15"/>
  <c r="AS109" i="15"/>
  <c r="O80" i="15"/>
  <c r="I14" i="25" s="1"/>
  <c r="AR59" i="15"/>
  <c r="AS59" i="15"/>
  <c r="AR93" i="15"/>
  <c r="AS93" i="15"/>
  <c r="AR43" i="15"/>
  <c r="AS43" i="15"/>
  <c r="AR112" i="15"/>
  <c r="AS112" i="15"/>
  <c r="AR48" i="15"/>
  <c r="AS48" i="15"/>
  <c r="AR107" i="15"/>
  <c r="AS107" i="15"/>
  <c r="AR77" i="15"/>
  <c r="AS77" i="15"/>
  <c r="AR20" i="15"/>
  <c r="AS20" i="15"/>
  <c r="AR96" i="15"/>
  <c r="AS96" i="15"/>
  <c r="AR94" i="15"/>
  <c r="AS94" i="15"/>
  <c r="AR52" i="15"/>
  <c r="AS52" i="15"/>
  <c r="AR36" i="15"/>
  <c r="AS36" i="15"/>
  <c r="AR97" i="15"/>
  <c r="AS97" i="15"/>
  <c r="AR42" i="15"/>
  <c r="AS42" i="15"/>
  <c r="AR9" i="15"/>
  <c r="AS9" i="15"/>
  <c r="AR70" i="15"/>
  <c r="AS70" i="15"/>
  <c r="AR21" i="15"/>
  <c r="AS21" i="15"/>
  <c r="AR111" i="15"/>
  <c r="AS111" i="15"/>
  <c r="AR34" i="15"/>
  <c r="AS34" i="15"/>
  <c r="AR98" i="15"/>
  <c r="AS98" i="15"/>
  <c r="AR73" i="15"/>
  <c r="AS73" i="15"/>
  <c r="AR19" i="15"/>
  <c r="AS19" i="15"/>
  <c r="AR30" i="15"/>
  <c r="AS30" i="15"/>
  <c r="AS106" i="15"/>
  <c r="AR106" i="15"/>
  <c r="AR104" i="15"/>
  <c r="AS104" i="15"/>
  <c r="AR72" i="15"/>
  <c r="AS72" i="15"/>
  <c r="AR35" i="15"/>
  <c r="AS35" i="15"/>
  <c r="AR95" i="15"/>
  <c r="AS95" i="15"/>
  <c r="AR71" i="15"/>
  <c r="AS71" i="15"/>
  <c r="AR38" i="15"/>
  <c r="AS38" i="15"/>
  <c r="AR105" i="15"/>
  <c r="AS105" i="15"/>
  <c r="AR75" i="15"/>
  <c r="AS75" i="15"/>
  <c r="AR92" i="15"/>
  <c r="AS92" i="15"/>
  <c r="AR10" i="15"/>
  <c r="AS10" i="15"/>
  <c r="AR41" i="15"/>
  <c r="AS41" i="15"/>
  <c r="AR37" i="15"/>
  <c r="AS37" i="15"/>
  <c r="AS110" i="15"/>
  <c r="AR110" i="15"/>
  <c r="AR108" i="15"/>
  <c r="AS108" i="15"/>
  <c r="AR74" i="15"/>
  <c r="AS74" i="15"/>
  <c r="AR76" i="15"/>
  <c r="AS76" i="15"/>
  <c r="AR103" i="15"/>
  <c r="AS103" i="15"/>
  <c r="H13" i="25"/>
  <c r="M9" i="25"/>
  <c r="H11" i="25"/>
  <c r="M12" i="25"/>
  <c r="H12" i="25"/>
  <c r="M15" i="25"/>
  <c r="M16" i="25"/>
  <c r="O18" i="15"/>
  <c r="H7" i="25"/>
  <c r="H14" i="25"/>
  <c r="M14" i="25"/>
  <c r="H16" i="25"/>
  <c r="M13" i="25"/>
  <c r="O69" i="15"/>
  <c r="H15" i="25"/>
  <c r="H9" i="25"/>
  <c r="M10" i="25"/>
  <c r="H8" i="25"/>
  <c r="M11" i="25"/>
  <c r="H10" i="25"/>
  <c r="O7" i="15"/>
  <c r="O40" i="15"/>
  <c r="O102" i="15"/>
  <c r="O91" i="15"/>
  <c r="O58" i="15"/>
  <c r="O51" i="15"/>
  <c r="AN73" i="15" a="1"/>
  <c r="AN73" i="15" s="1"/>
  <c r="AS91" i="15" l="1"/>
  <c r="K15" i="25" s="1"/>
  <c r="AS40" i="15"/>
  <c r="K10" i="25" s="1"/>
  <c r="AS7" i="15"/>
  <c r="K7" i="25" s="1"/>
  <c r="AR40" i="15"/>
  <c r="J10" i="25" s="1"/>
  <c r="AR91" i="15"/>
  <c r="J15" i="25" s="1"/>
  <c r="AR7" i="15"/>
  <c r="J7" i="25" s="1"/>
  <c r="AR102" i="15"/>
  <c r="J16" i="25" s="1"/>
  <c r="AR29" i="15"/>
  <c r="J9" i="25" s="1"/>
  <c r="AR18" i="15"/>
  <c r="J8" i="25" s="1"/>
  <c r="AR69" i="15"/>
  <c r="J13" i="25" s="1"/>
  <c r="AR51" i="15"/>
  <c r="J11" i="25" s="1"/>
  <c r="AR80" i="15"/>
  <c r="J14" i="25" s="1"/>
  <c r="AS58" i="15"/>
  <c r="K12" i="25" s="1"/>
  <c r="AR58" i="15"/>
  <c r="J12" i="25" s="1"/>
  <c r="AS102" i="15"/>
  <c r="K16" i="25" s="1"/>
  <c r="AS29" i="15"/>
  <c r="K9" i="25" s="1"/>
  <c r="AS18" i="15"/>
  <c r="K8" i="25" s="1"/>
  <c r="AS69" i="15"/>
  <c r="K13" i="25" s="1"/>
  <c r="AS51" i="15"/>
  <c r="K11" i="25" s="1"/>
  <c r="AS80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14" i="15" s="1"/>
  <c r="AL73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0" i="19"/>
  <c r="N10" i="19"/>
  <c r="L6" i="25" l="1"/>
  <c r="O10" i="19"/>
  <c r="S10" i="19"/>
  <c r="J9" i="13"/>
  <c r="O7" i="19" l="1"/>
  <c r="AL111" i="15"/>
  <c r="O6" i="19" l="1"/>
  <c r="O29" i="19" s="1"/>
  <c r="AL112" i="15"/>
  <c r="AL110" i="15"/>
  <c r="AN10" i="19" l="1" a="1"/>
  <c r="AN10" i="19" s="1"/>
  <c r="K10" i="19"/>
  <c r="AL35" i="15" l="1"/>
  <c r="AL36" i="15"/>
  <c r="AL37" i="15"/>
  <c r="AL30" i="15" l="1"/>
  <c r="AL38" i="15"/>
  <c r="AL34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22" i="19"/>
  <c r="I22" i="19"/>
  <c r="J11" i="19"/>
  <c r="I11" i="19"/>
  <c r="L11" i="19"/>
  <c r="J7" i="19"/>
  <c r="I7" i="19"/>
  <c r="K26" i="19"/>
  <c r="K23" i="19"/>
  <c r="K12" i="19"/>
  <c r="K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J102" i="15"/>
  <c r="I102" i="15"/>
  <c r="J91" i="15"/>
  <c r="I91" i="15"/>
  <c r="J80" i="15"/>
  <c r="I80" i="15"/>
  <c r="J69" i="15"/>
  <c r="I69" i="15"/>
  <c r="J58" i="15"/>
  <c r="I58" i="15"/>
  <c r="J51" i="15"/>
  <c r="I51" i="15"/>
  <c r="J40" i="15"/>
  <c r="I40" i="15"/>
  <c r="J29" i="15"/>
  <c r="I29" i="15"/>
  <c r="J18" i="15"/>
  <c r="J7" i="15"/>
  <c r="I7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14" i="15" s="1"/>
  <c r="J13" i="20"/>
  <c r="H6" i="21"/>
  <c r="J7" i="20"/>
  <c r="J11" i="18"/>
  <c r="I6" i="21"/>
  <c r="H6" i="20"/>
  <c r="J10" i="20"/>
  <c r="K22" i="19"/>
  <c r="K11" i="19"/>
  <c r="H6" i="18"/>
  <c r="I6" i="18"/>
  <c r="K69" i="15"/>
  <c r="K91" i="15"/>
  <c r="K102" i="15"/>
  <c r="K29" i="15"/>
  <c r="K51" i="15"/>
  <c r="K80" i="15"/>
  <c r="K58" i="15"/>
  <c r="K40" i="15"/>
  <c r="K18" i="15"/>
  <c r="K7" i="19"/>
  <c r="J12" i="21"/>
  <c r="J17" i="21"/>
  <c r="J7" i="21"/>
  <c r="I6" i="20"/>
  <c r="I6" i="19"/>
  <c r="I29" i="19" s="1"/>
  <c r="J6" i="19"/>
  <c r="J29" i="19" s="1"/>
  <c r="K7" i="15"/>
  <c r="J6" i="15"/>
  <c r="J114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2" i="19" a="1"/>
  <c r="AN12" i="19" s="1"/>
  <c r="AL12" i="19"/>
  <c r="AN26" i="19" a="1"/>
  <c r="AN26" i="19" s="1"/>
  <c r="AL26" i="19"/>
  <c r="AI26" i="19"/>
  <c r="AK26" i="19" s="1"/>
  <c r="AE26" i="19"/>
  <c r="AF26" i="19" s="1"/>
  <c r="Z26" i="19"/>
  <c r="AN23" i="19" a="1"/>
  <c r="AN23" i="19" s="1"/>
  <c r="AI23" i="19"/>
  <c r="AE23" i="19"/>
  <c r="Z23" i="19"/>
  <c r="AA23" i="19" s="1"/>
  <c r="AB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N109" i="15" a="1"/>
  <c r="AN109" i="15" s="1"/>
  <c r="AL109" i="15"/>
  <c r="AN108" i="15" a="1"/>
  <c r="AN108" i="15" s="1"/>
  <c r="AL108" i="15"/>
  <c r="AN107" i="15" a="1"/>
  <c r="AN107" i="15" s="1"/>
  <c r="AN106" i="15" a="1"/>
  <c r="AN106" i="15" s="1"/>
  <c r="AL106" i="15"/>
  <c r="AN105" i="15" a="1"/>
  <c r="AN105" i="15" s="1"/>
  <c r="AL105" i="15"/>
  <c r="AN104" i="15" a="1"/>
  <c r="AN104" i="15" s="1"/>
  <c r="AL104" i="15"/>
  <c r="AN103" i="15" a="1"/>
  <c r="AN103" i="15" s="1"/>
  <c r="AN98" i="15" a="1"/>
  <c r="AN98" i="15" s="1"/>
  <c r="AN97" i="15" a="1"/>
  <c r="AN97" i="15" s="1"/>
  <c r="AL97" i="15"/>
  <c r="AN95" i="15" a="1"/>
  <c r="AN95" i="15" s="1"/>
  <c r="AL95" i="15"/>
  <c r="AN93" i="15" a="1"/>
  <c r="AN93" i="15" s="1"/>
  <c r="AL93" i="15"/>
  <c r="AN96" i="15" a="1"/>
  <c r="AN96" i="15" s="1"/>
  <c r="AN94" i="15" a="1"/>
  <c r="AN94" i="15" s="1"/>
  <c r="AL94" i="15"/>
  <c r="AN92" i="15" a="1"/>
  <c r="AN92" i="15" s="1"/>
  <c r="AN77" i="15" a="1"/>
  <c r="AN77" i="15" s="1"/>
  <c r="AL77" i="15"/>
  <c r="AN76" i="15" a="1"/>
  <c r="AN76" i="15" s="1"/>
  <c r="AL76" i="15"/>
  <c r="AN75" i="15" a="1"/>
  <c r="AN75" i="15" s="1"/>
  <c r="AL75" i="15"/>
  <c r="AN74" i="15" a="1"/>
  <c r="AN74" i="15" s="1"/>
  <c r="AN72" i="15" a="1"/>
  <c r="AN72" i="15" s="1"/>
  <c r="AN71" i="15" a="1"/>
  <c r="AN71" i="15" s="1"/>
  <c r="AL71" i="15"/>
  <c r="AN70" i="15" a="1"/>
  <c r="AN70" i="15" s="1"/>
  <c r="AL70" i="15"/>
  <c r="AN59" i="15" a="1"/>
  <c r="AN59" i="15" s="1"/>
  <c r="AN52" i="15" a="1"/>
  <c r="AN52" i="15" s="1"/>
  <c r="AL52" i="15"/>
  <c r="AN48" i="15" a="1"/>
  <c r="AN48" i="15" s="1"/>
  <c r="AN44" i="15" a="1"/>
  <c r="AN44" i="15" s="1"/>
  <c r="AL44" i="15"/>
  <c r="AN43" i="15" a="1"/>
  <c r="AN43" i="15" s="1"/>
  <c r="AL43" i="15"/>
  <c r="AN42" i="15" a="1"/>
  <c r="AN42" i="15" s="1"/>
  <c r="AN41" i="15" a="1"/>
  <c r="AN41" i="15" s="1"/>
  <c r="AL41" i="15"/>
  <c r="AN31" i="15" a="1"/>
  <c r="AN31" i="15" s="1"/>
  <c r="AN21" i="15" a="1"/>
  <c r="AN21" i="15" s="1"/>
  <c r="AN20" i="15" a="1"/>
  <c r="AN20" i="15" s="1"/>
  <c r="AN19" i="15" a="1"/>
  <c r="AN19" i="15" s="1"/>
  <c r="AL19" i="15"/>
  <c r="AN10" i="15" a="1"/>
  <c r="AN10" i="15" s="1"/>
  <c r="AL10" i="15"/>
  <c r="AN12" i="15" a="1"/>
  <c r="AN12" i="15" s="1"/>
  <c r="AL12" i="15"/>
  <c r="AN9" i="15" a="1"/>
  <c r="AN9" i="15" s="1"/>
  <c r="AN8" i="15" a="1"/>
  <c r="AN8" i="15" s="1"/>
  <c r="AR14" i="18" l="1"/>
  <c r="AQ14" i="18"/>
  <c r="AS14" i="18" s="1"/>
  <c r="AL23" i="19"/>
  <c r="AL48" i="15"/>
  <c r="AL21" i="15"/>
  <c r="AL8" i="19"/>
  <c r="AL103" i="15"/>
  <c r="AL107" i="15"/>
  <c r="AL96" i="15"/>
  <c r="AL92" i="15"/>
  <c r="AL98" i="15"/>
  <c r="AL72" i="15"/>
  <c r="AL74" i="15"/>
  <c r="AL42" i="15"/>
  <c r="AL20" i="15"/>
  <c r="AL9" i="15"/>
  <c r="AL8" i="15"/>
  <c r="AL31" i="15"/>
  <c r="AL59" i="15"/>
  <c r="AF23" i="19"/>
  <c r="AG23" i="19" s="1"/>
  <c r="AA26" i="19"/>
  <c r="AB26" i="19" s="1"/>
  <c r="AG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22" i="19"/>
  <c r="Q22" i="19"/>
  <c r="P22" i="19"/>
  <c r="M22" i="19"/>
  <c r="L22" i="19"/>
  <c r="N22" i="19" l="1"/>
  <c r="S23" i="19"/>
  <c r="R22" i="19"/>
  <c r="S26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1" i="19"/>
  <c r="P11" i="19"/>
  <c r="P7" i="19"/>
  <c r="Q7" i="19"/>
  <c r="L102" i="15"/>
  <c r="M102" i="15"/>
  <c r="P102" i="15"/>
  <c r="Q102" i="15"/>
  <c r="L91" i="15"/>
  <c r="M91" i="15"/>
  <c r="Q91" i="15"/>
  <c r="L80" i="15"/>
  <c r="M80" i="15"/>
  <c r="P80" i="15"/>
  <c r="Q80" i="15"/>
  <c r="L69" i="15"/>
  <c r="M69" i="15"/>
  <c r="P69" i="15"/>
  <c r="Q69" i="15"/>
  <c r="L58" i="15"/>
  <c r="M58" i="15"/>
  <c r="P58" i="15"/>
  <c r="Q58" i="15"/>
  <c r="L51" i="15"/>
  <c r="M51" i="15"/>
  <c r="Q51" i="15"/>
  <c r="L40" i="15"/>
  <c r="M40" i="15"/>
  <c r="P40" i="15"/>
  <c r="Q40" i="15"/>
  <c r="L29" i="15"/>
  <c r="M29" i="15"/>
  <c r="P29" i="15"/>
  <c r="Q29" i="15"/>
  <c r="L18" i="15"/>
  <c r="Q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14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29" i="19" s="1"/>
  <c r="M3" i="19" s="1"/>
  <c r="L6" i="19"/>
  <c r="L29" i="19" s="1"/>
  <c r="L3" i="19" s="1"/>
  <c r="K6" i="20"/>
  <c r="O6" i="20"/>
  <c r="N6" i="20"/>
  <c r="L6" i="20"/>
  <c r="K6" i="15"/>
  <c r="K114" i="15" s="1"/>
  <c r="K3" i="15" s="1"/>
  <c r="G14" i="25" l="1"/>
  <c r="G13" i="25"/>
  <c r="G15" i="25"/>
  <c r="G11" i="25"/>
  <c r="G16" i="25"/>
  <c r="G9" i="25"/>
  <c r="G10" i="25"/>
  <c r="E6" i="25"/>
  <c r="F6" i="25"/>
  <c r="P51" i="15"/>
  <c r="G6" i="25" l="1"/>
  <c r="L6" i="13"/>
  <c r="N6" i="13"/>
  <c r="O6" i="13"/>
  <c r="M6" i="15"/>
  <c r="M114" i="15" s="1"/>
  <c r="M3" i="15" s="1"/>
  <c r="L6" i="15" l="1"/>
  <c r="L114" i="15" s="1"/>
  <c r="L3" i="15" s="1"/>
  <c r="N11" i="19" l="1"/>
  <c r="N7" i="19"/>
  <c r="P91" i="15" l="1"/>
  <c r="N6" i="15" l="1"/>
  <c r="N114" i="15" s="1"/>
  <c r="N3" i="15" s="1"/>
  <c r="J6" i="13"/>
  <c r="AI11" i="19" l="1"/>
  <c r="AA6" i="19" l="1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48" i="15"/>
  <c r="AK49" i="15"/>
  <c r="AK112" i="15"/>
  <c r="AK81" i="15"/>
  <c r="AK22" i="15"/>
  <c r="AK24" i="15"/>
  <c r="AK78" i="15"/>
  <c r="AK46" i="15"/>
  <c r="AK23" i="15"/>
  <c r="AK47" i="15"/>
  <c r="AK79" i="15"/>
  <c r="AK21" i="15"/>
  <c r="AK10" i="15"/>
  <c r="AK14" i="15"/>
  <c r="AK13" i="15"/>
  <c r="AK45" i="15"/>
  <c r="AK11" i="15"/>
  <c r="AK107" i="15"/>
  <c r="AK111" i="15"/>
  <c r="AK108" i="15"/>
  <c r="AK103" i="15"/>
  <c r="AK106" i="15"/>
  <c r="AK105" i="15"/>
  <c r="AK110" i="15"/>
  <c r="AK104" i="15"/>
  <c r="AK109" i="15"/>
  <c r="AK95" i="15"/>
  <c r="AK74" i="15"/>
  <c r="AK42" i="15"/>
  <c r="AK41" i="15"/>
  <c r="AK20" i="15"/>
  <c r="AK98" i="15"/>
  <c r="AK75" i="15"/>
  <c r="AK96" i="15"/>
  <c r="AK97" i="15"/>
  <c r="AK72" i="15"/>
  <c r="AK70" i="15"/>
  <c r="AK19" i="15"/>
  <c r="AK44" i="15"/>
  <c r="AK52" i="15"/>
  <c r="AK92" i="15"/>
  <c r="AK93" i="15"/>
  <c r="AK71" i="15"/>
  <c r="AK77" i="15"/>
  <c r="AK76" i="15"/>
  <c r="AK43" i="15"/>
  <c r="AK94" i="15"/>
  <c r="AK73" i="15"/>
  <c r="AK8" i="15"/>
  <c r="AK9" i="15"/>
  <c r="AK12" i="15"/>
  <c r="AK34" i="15"/>
  <c r="AK30" i="15"/>
  <c r="AK37" i="15"/>
  <c r="AK31" i="15"/>
  <c r="AK38" i="15"/>
  <c r="AK59" i="15"/>
  <c r="AK35" i="15"/>
  <c r="AK36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29" i="19" s="1"/>
  <c r="P6" i="19"/>
  <c r="P29" i="19" s="1"/>
  <c r="K6" i="19"/>
  <c r="K29" i="19" s="1"/>
  <c r="K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K23" i="19"/>
  <c r="AK24" i="19"/>
  <c r="AK25" i="19"/>
  <c r="AK15" i="19"/>
  <c r="AK19" i="19"/>
  <c r="AK13" i="19"/>
  <c r="AK16" i="19"/>
  <c r="AM12" i="18"/>
  <c r="AO12" i="18" s="1"/>
  <c r="AK14" i="19"/>
  <c r="AK20" i="19"/>
  <c r="AK21" i="19"/>
  <c r="AN12" i="18"/>
  <c r="AK17" i="19"/>
  <c r="AK18" i="19"/>
  <c r="AR8" i="18"/>
  <c r="AQ8" i="18"/>
  <c r="AS8" i="18" s="1"/>
  <c r="AK12" i="19"/>
  <c r="AM8" i="18"/>
  <c r="AO8" i="18" s="1"/>
  <c r="AN8" i="18"/>
  <c r="AK8" i="19"/>
  <c r="AK10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11" i="19"/>
  <c r="K6" i="21"/>
  <c r="AC6" i="21"/>
  <c r="P6" i="13"/>
  <c r="P2" i="13" s="1"/>
  <c r="M6" i="13"/>
  <c r="AL8" i="21" a="1"/>
  <c r="AL8" i="21" s="1"/>
  <c r="Q8" i="18"/>
  <c r="X6" i="18"/>
  <c r="Z3" i="19" s="1"/>
  <c r="S70" i="15"/>
  <c r="S92" i="15"/>
  <c r="S31" i="15"/>
  <c r="S103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9" i="18"/>
  <c r="Q10" i="18"/>
  <c r="Q13" i="18"/>
  <c r="Q14" i="18"/>
  <c r="Q16" i="18"/>
  <c r="Q12" i="18"/>
  <c r="Q15" i="18"/>
  <c r="Z15" i="18"/>
  <c r="S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29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R2" i="19" l="1"/>
  <c r="Q2" i="19" s="1"/>
  <c r="R29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52" i="15"/>
  <c r="S41" i="15"/>
  <c r="S59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18" i="15"/>
  <c r="R18" i="15" l="1"/>
  <c r="P6" i="15"/>
  <c r="P114" i="15" s="1"/>
  <c r="P3" i="15" s="1"/>
  <c r="M8" i="25" l="1"/>
  <c r="AF3" i="15"/>
  <c r="F24" i="4"/>
  <c r="L5" i="3"/>
  <c r="AG6" i="15"/>
  <c r="AG3" i="15" s="1"/>
  <c r="R6" i="15"/>
  <c r="R2" i="15" l="1"/>
  <c r="Q2" i="15" s="1"/>
  <c r="R114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86" i="15" a="1"/>
  <c r="AN86" i="15" s="1"/>
  <c r="AN88" i="15" a="1"/>
  <c r="AN88" i="15" s="1"/>
  <c r="AN87" i="15" a="1"/>
  <c r="AN87" i="15" s="1"/>
  <c r="AN89" i="15" a="1"/>
  <c r="AN89" i="15" s="1"/>
  <c r="G12" i="4"/>
  <c r="AN90" i="15" a="1"/>
  <c r="AN90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<sst xmlns="http://schemas.openxmlformats.org/spreadsheetml/2006/main" count="2460" uniqueCount="1010">
  <si>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</si>
  <si>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</si>
  <si>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</si>
  <si>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</si>
  <si>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</si>
  <si>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</si>
  <si>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</si>
  <si>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</si>
  <si>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</si>
  <si>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</si>
  <si>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</si>
  <si>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</si>
  <si>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</si>
  <si>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</si>
  <si>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</si>
  <si>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</si>
  <si>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</si>
  <si>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</si>
  <si>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</si>
  <si>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</si>
  <si>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</si>
  <si>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</si>
  <si>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</si>
  <si>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</si>
  <si>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</si>
  <si>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</si>
  <si>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</si>
  <si>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</si>
  <si>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</si>
  <si>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</si>
  <si>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</si>
  <si>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</si>
  <si>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</si>
  <si>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</si>
  <si>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</si>
  <si>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</si>
  <si>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</si>
  <si>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</si>
  <si>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</si>
  <si>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</si>
  <si>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</si>
  <si>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</si>
  <si>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</si>
  <si>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</si>
  <si>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</si>
  <si>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</si>
  <si>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</si>
  <si>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</si>
  <si>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</si>
  <si>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</si>
  <si>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</si>
  <si>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</si>
  <si>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</si>
  <si>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</si>
  <si>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</si>
  <si>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</si>
  <si>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</si>
  <si>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</si>
  <si>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</si>
  <si>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</si>
  <si>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</si>
  <si>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</si>
  <si>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</si>
  <si>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</si>
  <si>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</si>
  <si>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</si>
  <si>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</si>
  <si>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</si>
  <si>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</si>
  <si>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</si>
  <si>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</si>
  <si>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</si>
  <si>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</si>
  <si>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</si>
  <si>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</si>
  <si>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</si>
  <si>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</si>
  <si>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</si>
  <si>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</si>
  <si>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</si>
  <si>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</si>
  <si>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</si>
  <si>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</si>
  <si>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</si>
  <si>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</si>
  <si>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</si>
  <si>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</si>
  <si>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</si>
  <si>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</si>
  <si>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</si>
  <si>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</si>
  <si>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</si>
  <si>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</si>
  <si>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</si>
  <si>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</si>
  <si>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</si>
  <si>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</si>
  <si>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</si>
  <si>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</si>
  <si>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</si>
  <si>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</si>
  <si>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</si>
  <si>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</si>
  <si>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</si>
  <si>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</si>
  <si>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</si>
  <si>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</si>
  <si>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</si>
  <si>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</si>
  <si>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</si>
  <si>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</si>
  <si>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</si>
  <si>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</si>
  <si>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</si>
  <si>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</si>
  <si>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</si>
  <si>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</si>
  <si>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</si>
  <si>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</si>
  <si>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</si>
  <si>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</si>
  <si>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</si>
  <si>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</si>
  <si>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</si>
  <si>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</si>
  <si>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</si>
  <si>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</si>
  <si>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</si>
  <si>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</si>
  <si>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</si>
  <si>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</si>
  <si>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</si>
  <si>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</si>
  <si>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</si>
  <si>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</si>
  <si>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</si>
  <si>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</si>
  <si>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</si>
  <si>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</si>
  <si>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</si>
  <si>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</si>
  <si>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</si>
  <si>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</si>
  <si>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</si>
  <si>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</si>
  <si>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</si>
  <si>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</si>
  <si>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</si>
  <si>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</si>
  <si>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</si>
  <si>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</si>
  <si>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</si>
  <si>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</si>
  <si>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</si>
  <si>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</si>
  <si>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</si>
  <si>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</si>
  <si>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</si>
  <si>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</si>
  <si>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</si>
  <si>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</si>
  <si>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</si>
  <si>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</si>
  <si>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</si>
  <si>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</si>
  <si>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</si>
  <si>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</si>
  <si>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</si>
  <si>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</si>
  <si>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</si>
  <si>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</si>
  <si>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</si>
  <si>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</si>
  <si>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</si>
  <si>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</si>
  <si>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</si>
  <si>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</si>
  <si>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</si>
  <si>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</si>
  <si>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</si>
  <si>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</si>
  <si>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</si>
  <si>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</si>
  <si>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</si>
  <si>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</si>
  <si>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</si>
  <si>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</si>
  <si>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</si>
  <si>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</si>
  <si>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</si>
  <si>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</si>
  <si>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</si>
  <si>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</si>
  <si>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</si>
  <si>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</si>
  <si>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</si>
  <si>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</si>
  <si>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</si>
  <si>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</si>
  <si>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</si>
  <si>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</si>
  <si>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</si>
  <si>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</si>
  <si>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</si>
  <si>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</si>
  <si>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</si>
  <si>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</si>
  <si>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</si>
  <si>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</si>
  <si>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</si>
  <si>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</si>
  <si>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</si>
  <si>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</si>
  <si>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</si>
  <si>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</si>
  <si>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</si>
  <si>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</si>
  <si>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</si>
  <si>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</si>
  <si>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</si>
  <si>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</si>
  <si>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</si>
  <si>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</si>
  <si>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</si>
  <si>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</si>
  <si>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</si>
  <si>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</si>
  <si>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</si>
  <si>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</si>
  <si>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</si>
  <si>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</si>
  <si>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</si>
  <si>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</si>
  <si>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</si>
  <si>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</si>
  <si>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</si>
  <si>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</si>
  <si>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</si>
  <si>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</si>
  <si>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</si>
  <si>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</si>
  <si>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</si>
  <si>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</si>
  <si>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</si>
  <si>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</si>
  <si>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</si>
  <si>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</si>
  <si>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</si>
  <si>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</si>
  <si>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</si>
  <si>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</si>
  <si>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</si>
  <si>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</si>
  <si>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</si>
  <si>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</si>
  <si>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</si>
  <si>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</si>
  <si>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</si>
  <si>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</si>
  <si>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</si>
  <si>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</si>
  <si>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</si>
  <si>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</si>
  <si>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</si>
  <si>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</si>
  <si>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</si>
  <si>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</si>
  <si>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</si>
  <si>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</si>
  <si>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</si>
  <si>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</si>
  <si>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</si>
  <si>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</si>
  <si>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</si>
  <si>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</si>
  <si>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</si>
  <si>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</si>
  <si>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</si>
  <si>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</si>
  <si>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</si>
  <si>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</si>
  <si>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</si>
  <si>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</si>
  <si>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</si>
  <si>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</si>
  <si>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</si>
  <si>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</si>
  <si>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</si>
  <si>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</si>
  <si>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</si>
  <si>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</si>
  <si>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</si>
  <si>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</si>
  <si>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</si>
  <si>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</si>
  <si>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</si>
  <si>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</si>
  <si>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</si>
  <si>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</si>
  <si>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</si>
  <si>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</si>
  <si>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</si>
  <si>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</si>
  <si>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</si>
  <si>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</si>
  <si>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</si>
  <si>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</si>
  <si>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</si>
  <si>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</si>
  <si>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</si>
  <si>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</si>
  <si>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</si>
  <si>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</si>
  <si>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</si>
  <si>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</si>
  <si>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</si>
  <si>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</si>
  <si>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</si>
  <si>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</si>
  <si>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</si>
  <si>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</si>
  <si>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</si>
  <si>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</si>
  <si>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</si>
  <si>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</si>
  <si>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</si>
  <si>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</si>
  <si>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</si>
  <si>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</si>
  <si>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</si>
  <si>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</si>
  <si>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</si>
  <si>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</si>
  <si>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</si>
  <si>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</si>
  <si>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</si>
  <si>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</si>
  <si>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</si>
  <si>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</si>
  <si>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</si>
  <si>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</si>
  <si>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</si>
  <si>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</si>
  <si>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</si>
  <si>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</si>
  <si>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</si>
  <si>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</si>
  <si>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</si>
  <si>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</si>
  <si>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</si>
  <si>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</si>
  <si>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</si>
  <si>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</si>
  <si>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</si>
  <si>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</si>
  <si>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</si>
  <si>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</si>
  <si>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</si>
  <si>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</si>
  <si>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</si>
  <si>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</si>
  <si>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</si>
  <si>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</si>
  <si>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</si>
  <si>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</si>
  <si>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</si>
  <si>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</si>
  <si>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</si>
  <si>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</si>
  <si>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</si>
  <si>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</si>
  <si>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</si>
  <si>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</si>
  <si>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</si>
  <si>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</si>
  <si>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</si>
  <si>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</si>
  <si>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</si>
  <si>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</si>
  <si>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</si>
  <si>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</si>
  <si>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</si>
  <si>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</si>
  <si>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</si>
  <si>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</si>
  <si>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</si>
  <si>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</si>
  <si>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</si>
  <si>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</si>
  <si>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</si>
  <si>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</si>
  <si>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</si>
  <si>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</si>
  <si>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</si>
  <si>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</si>
  <si>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</si>
  <si>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</si>
  <si>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</si>
  <si>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</si>
  <si>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</si>
  <si>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</si>
  <si>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</si>
  <si>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</si>
  <si>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</si>
  <si>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</si>
  <si>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</si>
  <si>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</si>
  <si>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</si>
  <si>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</si>
  <si>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</si>
  <si>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</si>
  <si>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</si>
  <si>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</si>
  <si>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</si>
  <si>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</si>
  <si>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</si>
  <si>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</si>
  <si>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</si>
  <si>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</si>
  <si>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</si>
  <si>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</si>
  <si>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</si>
  <si>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</si>
  <si>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</si>
  <si>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</si>
  <si>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</si>
  <si>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</si>
  <si>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</si>
  <si>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</si>
  <si>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</si>
  <si>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</si>
  <si>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</si>
  <si>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</si>
  <si>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</si>
  <si>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</si>
  <si>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</si>
  <si>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</si>
  <si>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</si>
  <si>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</si>
  <si>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</si>
  <si>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</si>
  <si>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</si>
  <si>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</si>
  <si>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</si>
  <si>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</si>
  <si>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</si>
  <si>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</si>
  <si>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</si>
  <si>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</si>
  <si>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</si>
  <si>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</si>
  <si>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</si>
  <si>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</si>
  <si>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</si>
  <si>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</si>
  <si>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</si>
  <si>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</si>
  <si>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</si>
  <si>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</si>
  <si>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</si>
  <si>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</si>
  <si>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</si>
  <si>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</si>
  <si>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</si>
  <si>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</si>
  <si>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</si>
  <si>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</si>
  <si>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</si>
  <si>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</si>
  <si>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</si>
  <si>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</si>
  <si>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</si>
  <si>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</si>
  <si>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</si>
  <si>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</si>
  <si>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</si>
  <si>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</si>
  <si>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</si>
  <si>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</si>
  <si>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</si>
  <si>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</si>
  <si>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</si>
  <si>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</si>
  <si>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</si>
  <si>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</si>
  <si>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</si>
  <si>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</si>
  <si>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</si>
  <si>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</si>
  <si>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</si>
  <si>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</si>
  <si>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</si>
  <si>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</si>
  <si>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</si>
  <si>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</si>
  <si>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</si>
  <si>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</si>
  <si>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</si>
  <si>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</si>
  <si>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</si>
  <si>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</si>
  <si>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</si>
  <si>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</si>
  <si>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</si>
  <si>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</si>
  <si>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</si>
  <si>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</si>
  <si>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</si>
  <si>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</si>
  <si>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</si>
  <si>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</si>
  <si>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</si>
  <si>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</si>
  <si>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</si>
  <si>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</si>
  <si>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</si>
  <si>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</si>
  <si>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</si>
  <si>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</si>
  <si>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</si>
  <si>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</si>
  <si>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</si>
  <si>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</si>
  <si>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</si>
  <si>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</si>
  <si>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</si>
  <si>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</si>
  <si>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</si>
  <si>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</si>
  <si>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</si>
  <si>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</si>
  <si>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</si>
  <si>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</si>
  <si>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</si>
  <si>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</si>
  <si>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</si>
  <si>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</si>
  <si>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</si>
  <si>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</si>
  <si>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</si>
  <si>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</si>
  <si>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</si>
  <si>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</si>
  <si>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</si>
  <si>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</si>
  <si>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</si>
  <si>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</si>
  <si>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</si>
  <si>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</si>
  <si>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</si>
  <si>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</si>
  <si>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</si>
  <si>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</si>
  <si>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</si>
  <si>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</si>
  <si>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</si>
  <si>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</si>
  <si>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</si>
  <si>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</si>
  <si>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</si>
  <si>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</si>
  <si>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</si>
  <si>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</si>
  <si>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</si>
  <si>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</si>
  <si>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</si>
  <si>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</si>
  <si>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</si>
  <si>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</si>
  <si>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</si>
  <si>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</si>
  <si>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</si>
  <si>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</si>
  <si>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</si>
  <si>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</si>
  <si>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</si>
  <si>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</si>
  <si>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</si>
  <si>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</si>
  <si>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</si>
  <si>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</si>
  <si>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</si>
  <si>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</si>
  <si>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</si>
  <si>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</si>
  <si>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</si>
  <si>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</si>
  <si>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</si>
  <si>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</si>
  <si>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</si>
  <si>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</si>
  <si>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</si>
  <si>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</si>
  <si>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</si>
  <si>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</si>
  <si>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</si>
  <si>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</si>
  <si>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</si>
  <si>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</si>
  <si>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</si>
  <si>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</si>
  <si>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</si>
  <si>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</si>
  <si>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</si>
  <si>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</si>
  <si>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</si>
  <si>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</si>
  <si>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</si>
  <si>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</si>
  <si>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</si>
  <si>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</si>
  <si>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</si>
  <si>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</si>
  <si>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</si>
  <si>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</si>
  <si>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</si>
  <si>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</si>
  <si>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</si>
  <si>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</si>
  <si>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</si>
  <si>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</si>
  <si>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</si>
  <si>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</si>
  <si>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</si>
  <si>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</si>
  <si>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</si>
  <si>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</si>
  <si>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</si>
  <si>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</si>
  <si>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</si>
  <si>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</si>
  <si>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</si>
  <si>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</si>
  <si>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</si>
  <si>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</si>
  <si>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</si>
  <si>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</si>
  <si>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</si>
  <si>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</si>
  <si>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</si>
  <si>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</si>
  <si>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</si>
  <si>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</si>
  <si>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</si>
  <si>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</si>
  <si>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</si>
  <si>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</si>
  <si>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</si>
  <si>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</si>
  <si>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</si>
  <si>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</si>
  <si>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</si>
  <si>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</si>
  <si>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</si>
  <si>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</si>
  <si>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</si>
  <si>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</si>
  <si>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</si>
  <si>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</si>
  <si>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</si>
  <si>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</si>
  <si>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</si>
  <si>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</si>
  <si>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</si>
  <si>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</si>
  <si>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</si>
  <si>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</si>
  <si>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</si>
  <si>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</si>
  <si>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</si>
  <si>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</si>
  <si>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</si>
  <si>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</si>
  <si>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</si>
  <si>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</si>
  <si>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</si>
  <si>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</si>
  <si>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</si>
  <si>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</si>
  <si>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</si>
  <si>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</si>
  <si>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</si>
  <si>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</si>
  <si>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</si>
  <si>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</si>
  <si>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</si>
  <si>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</si>
  <si>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</si>
  <si>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</si>
  <si>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</si>
  <si>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</si>
  <si>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</si>
  <si>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</si>
  <si>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</si>
  <si>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</si>
  <si>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</si>
  <si>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</si>
  <si>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</si>
  <si>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</si>
  <si>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</si>
  <si>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</si>
  <si>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</si>
  <si>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</si>
  <si>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</si>
  <si>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</si>
  <si>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</si>
  <si>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</si>
  <si>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</si>
  <si>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</si>
  <si>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</si>
  <si>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</si>
  <si>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</si>
  <si>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</si>
  <si>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</si>
  <si>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</si>
  <si>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</si>
  <si>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</si>
  <si>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</si>
  <si>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</si>
  <si>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</si>
  <si>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</si>
  <si>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</si>
  <si>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</si>
  <si>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</si>
  <si>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</si>
  <si>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</si>
  <si>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</si>
  <si>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</si>
  <si>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</si>
  <si>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</si>
  <si>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</si>
  <si>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</si>
  <si>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</si>
  <si>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</si>
  <si>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</si>
  <si>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</si>
  <si>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</si>
  <si>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</si>
  <si>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</si>
  <si>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</si>
  <si>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</si>
  <si>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</si>
  <si>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</si>
  <si>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</si>
  <si>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</si>
  <si>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</si>
  <si>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</si>
  <si>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</si>
  <si>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</si>
  <si>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</si>
  <si>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</si>
  <si>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</si>
  <si>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</si>
  <si>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</si>
  <si>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</si>
  <si>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</si>
  <si>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</si>
  <si>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</si>
  <si>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</si>
  <si>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</si>
  <si>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</si>
  <si>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</si>
  <si>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</si>
  <si>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</si>
  <si>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</si>
  <si>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</si>
  <si>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</si>
  <si>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</si>
  <si>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</si>
  <si>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</si>
  <si>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</si>
  <si>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</si>
  <si>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</si>
  <si>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</si>
  <si>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</si>
  <si>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</si>
  <si>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</si>
  <si>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</si>
  <si>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</si>
  <si>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</si>
  <si>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</si>
  <si>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</si>
  <si>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</si>
  <si>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</si>
  <si>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</si>
  <si>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</si>
  <si>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</si>
  <si>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</si>
  <si>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</si>
  <si>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</si>
  <si>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</si>
  <si>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</si>
  <si>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</si>
  <si>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</si>
  <si>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</si>
  <si>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</si>
  <si>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</si>
  <si>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</si>
  <si>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</si>
  <si>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</si>
  <si>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</si>
  <si>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</si>
  <si>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</si>
  <si>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</si>
  <si>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</si>
  <si>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</si>
  <si>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</si>
  <si>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</si>
  <si>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</si>
  <si>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</si>
  <si>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</si>
  <si>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</si>
  <si>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</si>
  <si>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</si>
  <si>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</si>
  <si>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</si>
  <si>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</si>
  <si>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</si>
  <si>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</si>
  <si>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</si>
  <si>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</si>
  <si>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</si>
  <si>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</si>
  <si>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</si>
  <si>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</si>
  <si>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</si>
  <si>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</si>
  <si>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</si>
  <si>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</si>
  <si>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</si>
  <si>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</si>
  <si>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</si>
  <si>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</si>
  <si>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</si>
  <si>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</si>
  <si>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</si>
  <si>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</si>
  <si>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</si>
  <si>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</si>
  <si>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</si>
  <si>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</si>
  <si>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</si>
  <si>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</si>
  <si>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</si>
  <si>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</si>
  <si>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</si>
  <si>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</si>
  <si>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</si>
  <si>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</si>
  <si>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</si>
  <si>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</si>
  <si>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</si>
  <si>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</si>
  <si>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</si>
  <si>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</si>
  <si>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</si>
  <si>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</si>
  <si>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</si>
  <si>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</si>
  <si>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</si>
  <si>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</si>
  <si>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</si>
  <si>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</si>
  <si>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</si>
  <si>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</si>
  <si>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</si>
  <si>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</si>
  <si>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</si>
  <si>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</si>
  <si>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</si>
  <si>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</si>
  <si>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</si>
  <si>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</si>
  <si>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</si>
  <si>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</si>
  <si>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</si>
  <si>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</si>
  <si>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2018년 경기도 예산편성
지침에 의거 예산심의전
중기지방재정계획 반영후 예산심의 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</si>
  <si>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</si>
  <si>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2"/>
        <charset val="129"/>
        <scheme val="minor"/>
      </rPr>
      <t>(예시)</t>
    </r>
    <r>
      <rPr>
        <b/>
        <sz val="10"/>
        <color rgb="FFFF0000"/>
        <rFont val="맑은 고딕"/>
        <family val="3"/>
        <charset val="129"/>
        <scheme val="minor"/>
      </rPr>
      <t xml:space="preserve">
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</si>
  <si>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t>문화체육관광위원회</t>
    <phoneticPr fontId="1" type="noConversion"/>
  </si>
  <si>
    <t>문화체육관광국</t>
    <phoneticPr fontId="1" type="noConversion"/>
  </si>
  <si>
    <t>문화정책과</t>
    <phoneticPr fontId="1" type="noConversion"/>
  </si>
  <si>
    <t>1회추경</t>
  </si>
  <si>
    <t>1회추경</t>
    <phoneticPr fontId="1" type="noConversion"/>
  </si>
  <si>
    <t>경기문화재단 운영(자체/직접)
 - 경기문화재단 운영</t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</si>
  <si>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</si>
  <si>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세입예산</t>
    <phoneticPr fontId="1" type="noConversion"/>
  </si>
  <si>
    <t>세입=세출</t>
    <phoneticPr fontId="1" type="noConversion"/>
  </si>
  <si>
    <t>(단위 : 천원)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</si>
  <si>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</si>
  <si>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</si>
  <si>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</si>
  <si>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</si>
  <si>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예산안
페이지</t>
    <phoneticPr fontId="1" type="noConversion"/>
  </si>
  <si>
    <t>사업설명서페이지</t>
    <phoneticPr fontId="1" type="noConversion"/>
  </si>
  <si>
    <t>목명 및 부기명</t>
    <phoneticPr fontId="1" type="noConversion"/>
  </si>
  <si>
    <t>제1회 추경
예산안
(가)</t>
    <phoneticPr fontId="25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</si>
  <si>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</si>
  <si>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</si>
  <si>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5" type="noConversion"/>
  </si>
  <si>
    <t>상임위 조정
예산안
(마=다+라)</t>
    <phoneticPr fontId="25" type="noConversion"/>
  </si>
  <si>
    <t>예결위 예산안
조정액(사)</t>
    <phoneticPr fontId="25" type="noConversion"/>
  </si>
  <si>
    <t>예결위 조정
예산안
(아=다+사)</t>
    <phoneticPr fontId="25" type="noConversion"/>
  </si>
  <si>
    <t>동의
대상</t>
    <phoneticPr fontId="1" type="noConversion"/>
  </si>
  <si>
    <t>상임위 변경사유
(심의 참고자료)</t>
    <phoneticPr fontId="1" type="noConversion"/>
  </si>
  <si>
    <t>비고
(상임위 부대의견)</t>
    <phoneticPr fontId="1" type="noConversion"/>
  </si>
  <si>
    <t>비고
(부대의견)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</si>
  <si>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</si>
  <si>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</si>
  <si>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</si>
  <si>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</si>
  <si>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</si>
  <si>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</si>
  <si>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</si>
  <si>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</si>
  <si>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예결위 세입 검증</t>
    <phoneticPr fontId="1" type="noConversion"/>
  </si>
  <si>
    <t>감액</t>
    <phoneticPr fontId="1" type="noConversion"/>
  </si>
  <si>
    <t>증액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</si>
  <si>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</si>
  <si>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</si>
  <si>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</si>
  <si>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국비 증감액</t>
    <phoneticPr fontId="1" type="noConversion"/>
  </si>
  <si>
    <t>건수</t>
    <phoneticPr fontId="1" type="noConversion"/>
  </si>
  <si>
    <t>합  계</t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</si>
  <si>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</si>
  <si>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</si>
  <si>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(단위 : 천원)</t>
    <phoneticPr fontId="1" type="noConversion"/>
  </si>
  <si>
    <t>번호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</si>
  <si>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</si>
  <si>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</si>
  <si>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</si>
  <si>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</si>
  <si>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연정
구분</t>
    <phoneticPr fontId="1" type="noConversion"/>
  </si>
  <si>
    <t>예산안
페이지</t>
    <phoneticPr fontId="1" type="noConversion"/>
  </si>
  <si>
    <t>사업설명서페이지</t>
    <phoneticPr fontId="1" type="noConversion"/>
  </si>
  <si>
    <t>세부사업명 및 부기명</t>
    <phoneticPr fontId="1" type="noConversion"/>
  </si>
  <si>
    <t>제1회 추경
예산안
(가)</t>
    <phoneticPr fontId="25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</si>
  <si>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</si>
  <si>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</si>
  <si>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5" type="noConversion"/>
  </si>
  <si>
    <t>상임위 조정
예산안
(마=다+라)</t>
    <phoneticPr fontId="25" type="noConversion"/>
  </si>
  <si>
    <t>예결위 예산안
조정액(사)</t>
    <phoneticPr fontId="25" type="noConversion"/>
  </si>
  <si>
    <t>예결위 조정
예산안
(아=다+사)</t>
    <phoneticPr fontId="25" type="noConversion"/>
  </si>
  <si>
    <t>동의
대상</t>
    <phoneticPr fontId="1" type="noConversion"/>
  </si>
  <si>
    <t>상임위 변경사유
(심의 참고자료)</t>
    <phoneticPr fontId="1" type="noConversion"/>
  </si>
  <si>
    <t>비고
(상임위 부대의견)</t>
    <phoneticPr fontId="1" type="noConversion"/>
  </si>
  <si>
    <t>비고
(부대의견)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</si>
  <si>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</si>
  <si>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</si>
  <si>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</si>
  <si>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예결위 재원별 증감액</t>
    <phoneticPr fontId="1" type="noConversion"/>
  </si>
  <si>
    <t>세입번호</t>
    <phoneticPr fontId="1" type="noConversion"/>
  </si>
  <si>
    <t>동일
세입
건수</t>
    <phoneticPr fontId="1" type="noConversion"/>
  </si>
  <si>
    <t>세출
번호
검증</t>
    <phoneticPr fontId="1" type="noConversion"/>
  </si>
  <si>
    <t>(문화체육관광위원회)</t>
    <phoneticPr fontId="1" type="noConversion"/>
  </si>
  <si>
    <t>문화체육관광
위원회</t>
    <phoneticPr fontId="1" type="noConversion"/>
  </si>
  <si>
    <t>문화체육
관광국</t>
    <phoneticPr fontId="1" type="noConversion"/>
  </si>
  <si>
    <t>문화정책과</t>
    <phoneticPr fontId="1" type="noConversion"/>
  </si>
  <si>
    <t>일반</t>
  </si>
  <si>
    <t>경기도 문화의전당 운영(자체/직접)
- 경기도 문화의 전당 운영</t>
    <phoneticPr fontId="1" type="noConversion"/>
  </si>
  <si>
    <t>* 베토벤 뮤지컬 콘서트(2억8천감)
* 예술단공통사업비(1억5천증)
* 나눔음악회(5천증)</t>
    <phoneticPr fontId="1" type="noConversion"/>
  </si>
  <si>
    <t>경기문화재단 운영(자체/직접)
- 경기문화재단 운영</t>
    <phoneticPr fontId="1" type="noConversion"/>
  </si>
  <si>
    <t>* 한국-유럽 미술전시회(3천증)
* 경기북부 생활문화플랫폼 조성 및 운영(2억증)
* 2017 피스로드(2억증)
* 시민참여형 창작뮤지컬(1억증)
* 지역문화예술활성화(4억3천증)</t>
    <phoneticPr fontId="1" type="noConversion"/>
  </si>
  <si>
    <t>콘텐츠산업과</t>
    <phoneticPr fontId="1" type="noConversion"/>
  </si>
  <si>
    <t>경기콘텐츠진흥원 운영(자체/직접)
- 경기콘텐츠진흥원 운영</t>
    <phoneticPr fontId="1" type="noConversion"/>
  </si>
  <si>
    <t>* 안양국제청소년 영화제(1억증)</t>
    <phoneticPr fontId="1" type="noConversion"/>
  </si>
  <si>
    <t>관광과</t>
    <phoneticPr fontId="1" type="noConversion"/>
  </si>
  <si>
    <t>경기관광공사 운영(자체/직접)
- 경기관광공사 운영</t>
    <phoneticPr fontId="1" type="noConversion"/>
  </si>
  <si>
    <t>* 세계유산 경기도일주여행(2천증)
* 관광공사 홍보비(8천증)
* 지역축제경쟁력 강화(5천감)
* 경기도 생태관광 거점지역 육성(2억증)</t>
    <phoneticPr fontId="1" type="noConversion"/>
  </si>
  <si>
    <t>문화체육관광
위원회</t>
    <phoneticPr fontId="1" type="noConversion"/>
  </si>
  <si>
    <t>문화체육
관광국</t>
    <phoneticPr fontId="1" type="noConversion"/>
  </si>
  <si>
    <t>관광과</t>
    <phoneticPr fontId="1" type="noConversion"/>
  </si>
  <si>
    <t>수도권 5개시도 관광진흥 공동사업(자체/직접)
- 수도권 5개시도 관광진흥 공동사업</t>
    <phoneticPr fontId="1" type="noConversion"/>
  </si>
  <si>
    <t>* 정산액 입력오류에 따른 금액 반영</t>
    <phoneticPr fontId="1" type="noConversion"/>
  </si>
  <si>
    <t>체육과</t>
    <phoneticPr fontId="1" type="noConversion"/>
  </si>
  <si>
    <t>신규</t>
  </si>
  <si>
    <t>체육 활성화(자체/직접)
- 세계챔피언십 한국대회</t>
    <phoneticPr fontId="1" type="noConversion"/>
  </si>
  <si>
    <t>문화체육관광
위원회</t>
    <phoneticPr fontId="1" type="noConversion"/>
  </si>
  <si>
    <t>문화체육
관광국</t>
    <phoneticPr fontId="1" type="noConversion"/>
  </si>
  <si>
    <t>문화유산과</t>
    <phoneticPr fontId="1" type="noConversion"/>
  </si>
  <si>
    <t>행주산성 학술 및 시굴조사(자체/지원)
- 행주산성 학술 및 시굴조사</t>
    <phoneticPr fontId="1" type="noConversion"/>
  </si>
  <si>
    <t>문화체육관광
위원회</t>
    <phoneticPr fontId="1" type="noConversion"/>
  </si>
  <si>
    <t>문화체육
관광국</t>
    <phoneticPr fontId="1" type="noConversion"/>
  </si>
  <si>
    <t>문화정책과</t>
    <phoneticPr fontId="1" type="noConversion"/>
  </si>
  <si>
    <t>본예산</t>
  </si>
  <si>
    <t>도 단위 예술단체 문예진흥(자체/직접)
- 도 단위 예술단체 문예진흥</t>
    <phoneticPr fontId="1" type="noConversion"/>
  </si>
  <si>
    <t>체육과</t>
    <phoneticPr fontId="1" type="noConversion"/>
  </si>
  <si>
    <t>KT-wiz 운영지원 및 소통강화(자체/직접)
- KT-wiz 운영지원 및 소통강화</t>
    <phoneticPr fontId="1" type="noConversion"/>
  </si>
  <si>
    <t>문화유산과</t>
    <phoneticPr fontId="1" type="noConversion"/>
  </si>
  <si>
    <t>기천서원 강당 건립(자체/지원)
- 기천서원 강당 건립</t>
    <phoneticPr fontId="1" type="noConversion"/>
  </si>
  <si>
    <t>체육 활성화(자체/직접)
- 체육진흥</t>
    <phoneticPr fontId="1" type="noConversion"/>
  </si>
  <si>
    <t>지방체육시설 지원(자체/지원)
- 체육시설 개보수 지원</t>
    <phoneticPr fontId="1" type="noConversion"/>
  </si>
  <si>
    <t>문화유산과</t>
    <phoneticPr fontId="1" type="noConversion"/>
  </si>
  <si>
    <t>경기도 옛길 관리운영(자체/직접)
 - 신설 역사문화탐방로 고증 및 탐방로 개척</t>
    <phoneticPr fontId="1" type="noConversion"/>
  </si>
  <si>
    <t>경기도 지정문화재 아카이브 구축(자체/직접)
 - 경기도 지정문화재 아카이브 구축</t>
    <phoneticPr fontId="1" type="noConversion"/>
  </si>
  <si>
    <t>도비</t>
    <phoneticPr fontId="1" type="noConversion"/>
  </si>
  <si>
    <t>도비</t>
    <phoneticPr fontId="1" type="noConversion"/>
  </si>
  <si>
    <t>문화체육관국</t>
    <phoneticPr fontId="1" type="noConversion"/>
  </si>
  <si>
    <t>문화유산과</t>
    <phoneticPr fontId="1" type="noConversion"/>
  </si>
  <si>
    <t>신규</t>
    <phoneticPr fontId="1" type="noConversion"/>
  </si>
  <si>
    <t>신규</t>
    <phoneticPr fontId="1" type="noConversion"/>
  </si>
  <si>
    <t>문화유산관광자원화(시흥 오이동 유적)(지특/지원)
 -오이도 유적종합정비 및 역사공원 조성</t>
    <phoneticPr fontId="1" type="noConversion"/>
  </si>
  <si>
    <t>본예산</t>
    <phoneticPr fontId="1" type="noConversion"/>
  </si>
  <si>
    <t>장애인 생활체육(자체/직접)
 - 장애인 어울림대회 등 개최 지원</t>
    <phoneticPr fontId="1" type="noConversion"/>
  </si>
  <si>
    <t>그외수입 
[양주시]
양주 회암사지 종합정비 집행잔액</t>
    <phoneticPr fontId="1" type="noConversion"/>
  </si>
  <si>
    <t>문화체육관광위원회</t>
    <phoneticPr fontId="1" type="noConversion"/>
  </si>
  <si>
    <t>국도비</t>
  </si>
  <si>
    <t>도비</t>
  </si>
  <si>
    <t>지특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</si>
</sst>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39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rgb="FFFF0000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</cellStyleXfs>
  <cellXfs count="7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86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4" fillId="0" borderId="4" xfId="0" applyFont="1" applyBorder="1" applyProtection="1">
      <alignment vertical="center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107" fillId="5" borderId="4" xfId="0" applyFont="1" applyFill="1" applyBorder="1" applyAlignment="1" applyProtection="1">
      <alignment vertical="center" wrapText="1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108" fillId="5" borderId="4" xfId="0" applyFont="1" applyFill="1" applyBorder="1" applyAlignment="1" applyProtection="1">
      <alignment vertical="center" wrapText="1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0" fontId="108" fillId="5" borderId="5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176" fontId="2" fillId="0" borderId="9" xfId="1" applyNumberFormat="1" applyFont="1" applyBorder="1" applyAlignment="1" applyProtection="1">
      <alignment horizontal="right" vertical="center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176" fontId="20" fillId="0" borderId="9" xfId="1" applyNumberFormat="1" applyFont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14" borderId="9" xfId="0" applyFont="1" applyFill="1" applyBorder="1" applyAlignment="1" applyProtection="1">
      <alignment horizontal="left" vertical="center" wrapText="1"/>
    </xf>
    <xf numFmtId="176" fontId="43" fillId="0" borderId="0" xfId="0" applyNumberFormat="1" applyFont="1" applyProtection="1">
      <alignment vertical="center"/>
    </xf>
    <xf numFmtId="0" fontId="2" fillId="6" borderId="13" xfId="0" applyFont="1" applyFill="1" applyBorder="1" applyAlignment="1" applyProtection="1">
      <alignment horizontal="center"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3" fillId="6" borderId="4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0" fillId="6" borderId="8" xfId="0" applyFont="1" applyFill="1" applyBorder="1" applyAlignment="1" applyProtection="1">
      <alignment vertical="center" wrapText="1"/>
    </xf>
    <xf numFmtId="0" fontId="2" fillId="0" borderId="13" xfId="0" applyFont="1" applyBorder="1" applyAlignment="1" applyProtection="1">
      <alignment horizontal="center" vertical="center"/>
    </xf>
    <xf numFmtId="0" fontId="40" fillId="5" borderId="4" xfId="0" applyFont="1" applyFill="1" applyBorder="1" applyProtection="1">
      <alignment vertical="center"/>
    </xf>
    <xf numFmtId="0" fontId="46" fillId="5" borderId="4" xfId="0" applyFont="1" applyFill="1" applyBorder="1" applyAlignment="1" applyProtection="1">
      <alignment vertical="center" wrapText="1"/>
    </xf>
    <xf numFmtId="176" fontId="20" fillId="0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176" fontId="4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4" xfId="0" applyFont="1" applyFill="1" applyBorder="1" applyAlignment="1" applyProtection="1">
      <alignment horizontal="center" vertical="center" wrapText="1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4" fillId="17" borderId="17" xfId="0" applyNumberFormat="1" applyFont="1" applyFill="1" applyBorder="1" applyAlignment="1">
      <alignment horizontal="center" vertical="center" wrapText="1"/>
    </xf>
    <xf numFmtId="0" fontId="56" fillId="17" borderId="18" xfId="0" applyFont="1" applyFill="1" applyBorder="1" applyAlignment="1">
      <alignment horizontal="center" vertical="center"/>
    </xf>
    <xf numFmtId="178" fontId="24" fillId="16" borderId="2" xfId="0" applyNumberFormat="1" applyFont="1" applyFill="1" applyBorder="1" applyAlignment="1" applyProtection="1">
      <alignment horizontal="center" vertical="center" wrapText="1"/>
    </xf>
    <xf numFmtId="178" fontId="24" fillId="16" borderId="3" xfId="0" applyNumberFormat="1" applyFont="1" applyFill="1" applyBorder="1" applyAlignment="1" applyProtection="1">
      <alignment horizontal="center"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&#45824;%20&#50948;&#50896;&#54924;\2017&#45380;&#46020;\&#51228;319&#54924;(1&#54924;&#52628;&#44221;)\&#44228;&#49688;&#51312;&#51221;\170516%202017&#45380;%20&#51228;1&#54924;%20&#52628;&#44221;%20&#50696;&#49328;&#50504;%20&#44228;&#49688;&#51312;&#51221;%20&#44208;&#44284;(&#47928;&#52404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일출"/>
      <sheetName val="1추특입"/>
      <sheetName val="1추특출"/>
      <sheetName val="1추기금입"/>
      <sheetName val="1추기금출"/>
      <sheetName val="계속비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>
            <v>50104</v>
          </cell>
        </row>
        <row r="7"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>
            <v>50105</v>
          </cell>
        </row>
        <row r="8"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>
            <v>10101</v>
          </cell>
        </row>
        <row r="9"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>
            <v>10102</v>
          </cell>
        </row>
        <row r="10">
          <cell r="E10" t="str">
            <v>소통기획관</v>
          </cell>
          <cell r="F10" t="str">
            <v>홍보미디어담당관</v>
          </cell>
          <cell r="G10" t="str">
            <v>의회운영위원회</v>
          </cell>
          <cell r="I10">
            <v>10201</v>
          </cell>
        </row>
        <row r="11">
          <cell r="E11" t="str">
            <v>소통기획관</v>
          </cell>
          <cell r="F11" t="str">
            <v>홍보콘텐츠담당관</v>
          </cell>
          <cell r="G11" t="str">
            <v>의회운영위원회</v>
          </cell>
          <cell r="I11">
            <v>10202</v>
          </cell>
        </row>
        <row r="12">
          <cell r="E12" t="str">
            <v>연정협력국</v>
          </cell>
          <cell r="F12" t="str">
            <v>연정협력과</v>
          </cell>
          <cell r="G12" t="str">
            <v>의회운영위원회</v>
          </cell>
          <cell r="I12">
            <v>30101</v>
          </cell>
        </row>
        <row r="13">
          <cell r="E13" t="str">
            <v>연정협력국</v>
          </cell>
          <cell r="F13" t="str">
            <v>대외협력과</v>
          </cell>
          <cell r="G13" t="str">
            <v>의회운영위원회</v>
          </cell>
          <cell r="I13">
            <v>30102</v>
          </cell>
        </row>
        <row r="14">
          <cell r="E14" t="str">
            <v>연정협력국</v>
          </cell>
          <cell r="F14" t="str">
            <v>서울사무소</v>
          </cell>
          <cell r="G14" t="str">
            <v>의회운영위원회</v>
          </cell>
          <cell r="I14">
            <v>30103</v>
          </cell>
        </row>
        <row r="15"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>
            <v>10301</v>
          </cell>
        </row>
        <row r="16"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>
            <v>10302</v>
          </cell>
        </row>
        <row r="17"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>
            <v>10303</v>
          </cell>
        </row>
        <row r="18"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>
            <v>10304</v>
          </cell>
        </row>
        <row r="19"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>
            <v>10401</v>
          </cell>
        </row>
        <row r="20"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>
            <v>10402</v>
          </cell>
        </row>
        <row r="21"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>
            <v>10403</v>
          </cell>
        </row>
        <row r="22"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>
            <v>10404</v>
          </cell>
        </row>
        <row r="23"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>
            <v>10405</v>
          </cell>
        </row>
        <row r="24"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>
            <v>10406</v>
          </cell>
        </row>
        <row r="25"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>
            <v>10407</v>
          </cell>
        </row>
        <row r="26"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>
            <v>10408</v>
          </cell>
        </row>
        <row r="27"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>
            <v>10409</v>
          </cell>
        </row>
        <row r="28"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>
            <v>10410</v>
          </cell>
        </row>
        <row r="29"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>
            <v>20201</v>
          </cell>
        </row>
        <row r="30"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>
            <v>20202</v>
          </cell>
        </row>
        <row r="31"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>
            <v>20204</v>
          </cell>
        </row>
        <row r="32"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>
            <v>20205</v>
          </cell>
        </row>
        <row r="33"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>
            <v>20207</v>
          </cell>
        </row>
        <row r="34">
          <cell r="E34" t="str">
            <v>공유시장경제국</v>
          </cell>
          <cell r="F34" t="str">
            <v>따복공동체지원과</v>
          </cell>
          <cell r="G34" t="str">
            <v>기획재정위원회</v>
          </cell>
          <cell r="I34">
            <v>30202</v>
          </cell>
        </row>
        <row r="35">
          <cell r="E35" t="str">
            <v>경제실</v>
          </cell>
          <cell r="F35" t="str">
            <v>일자리경제정책과</v>
          </cell>
          <cell r="G35" t="str">
            <v>경제과학기술위원회</v>
          </cell>
          <cell r="I35">
            <v>20301</v>
          </cell>
        </row>
        <row r="36">
          <cell r="E36" t="str">
            <v>경제실</v>
          </cell>
          <cell r="F36" t="str">
            <v>공정경제과</v>
          </cell>
          <cell r="G36" t="str">
            <v>경제과학기술위원회</v>
          </cell>
          <cell r="I36">
            <v>20302</v>
          </cell>
        </row>
        <row r="37">
          <cell r="E37" t="str">
            <v>경제실</v>
          </cell>
          <cell r="F37" t="str">
            <v>기업지원과</v>
          </cell>
          <cell r="G37" t="str">
            <v>경제과학기술위원회</v>
          </cell>
          <cell r="I37">
            <v>20303</v>
          </cell>
        </row>
        <row r="38">
          <cell r="E38" t="str">
            <v>경제실</v>
          </cell>
          <cell r="F38" t="str">
            <v>산업정책과</v>
          </cell>
          <cell r="G38" t="str">
            <v>경제과학기술위원회</v>
          </cell>
          <cell r="I38">
            <v>20304</v>
          </cell>
        </row>
        <row r="39">
          <cell r="E39" t="str">
            <v>경제실</v>
          </cell>
          <cell r="F39" t="str">
            <v>에너지과</v>
          </cell>
          <cell r="G39" t="str">
            <v>경제과학기술위원회</v>
          </cell>
          <cell r="I39">
            <v>20305</v>
          </cell>
        </row>
        <row r="40">
          <cell r="E40" t="str">
            <v>경제실</v>
          </cell>
          <cell r="F40" t="str">
            <v>특화산업과</v>
          </cell>
          <cell r="G40" t="str">
            <v>경제과학기술위원회</v>
          </cell>
          <cell r="I40">
            <v>20306</v>
          </cell>
        </row>
        <row r="41">
          <cell r="E41" t="str">
            <v>경제실</v>
          </cell>
          <cell r="F41" t="str">
            <v>과학기술과</v>
          </cell>
          <cell r="G41" t="str">
            <v>경제과학기술위원회</v>
          </cell>
          <cell r="I41">
            <v>20307</v>
          </cell>
        </row>
        <row r="42">
          <cell r="E42" t="str">
            <v>경제실</v>
          </cell>
          <cell r="F42" t="str">
            <v>외교정책과</v>
          </cell>
          <cell r="G42" t="str">
            <v>경제과학기술위원회</v>
          </cell>
          <cell r="I42">
            <v>20308</v>
          </cell>
        </row>
        <row r="43">
          <cell r="E43" t="str">
            <v>경제실</v>
          </cell>
          <cell r="F43" t="str">
            <v>국제통상과</v>
          </cell>
          <cell r="G43" t="str">
            <v>경제과학기술위원회</v>
          </cell>
          <cell r="I43">
            <v>20309</v>
          </cell>
        </row>
        <row r="44">
          <cell r="E44" t="str">
            <v>경제실</v>
          </cell>
          <cell r="F44" t="str">
            <v>투자진흥과</v>
          </cell>
          <cell r="G44" t="str">
            <v>경제과학기술위원회</v>
          </cell>
          <cell r="I44">
            <v>20310</v>
          </cell>
        </row>
        <row r="45">
          <cell r="E45" t="str">
            <v>공유시장경제국</v>
          </cell>
          <cell r="F45" t="str">
            <v>공유경제과</v>
          </cell>
          <cell r="G45" t="str">
            <v>경제과학기술위원회</v>
          </cell>
          <cell r="I45">
            <v>30201</v>
          </cell>
        </row>
        <row r="46">
          <cell r="E46" t="str">
            <v>황해경제자유구역청</v>
          </cell>
          <cell r="F46" t="str">
            <v>기획행정과</v>
          </cell>
          <cell r="G46" t="str">
            <v>경제과학기술위원회</v>
          </cell>
          <cell r="I46">
            <v>50501</v>
          </cell>
        </row>
        <row r="47">
          <cell r="E47" t="str">
            <v>황해경제자유구역청</v>
          </cell>
          <cell r="F47" t="str">
            <v>개발과</v>
          </cell>
          <cell r="G47" t="str">
            <v>경제과학기술위원회</v>
          </cell>
          <cell r="I47">
            <v>50502</v>
          </cell>
        </row>
        <row r="48">
          <cell r="E48" t="str">
            <v>황해경제자유구역청</v>
          </cell>
          <cell r="F48" t="str">
            <v>투자유치과</v>
          </cell>
          <cell r="G48" t="str">
            <v>경제과학기술위원회</v>
          </cell>
          <cell r="I48">
            <v>50503</v>
          </cell>
        </row>
        <row r="49">
          <cell r="E49" t="str">
            <v>자치행정국</v>
          </cell>
          <cell r="F49" t="str">
            <v>총무과</v>
          </cell>
          <cell r="G49" t="str">
            <v>안전행정위원회</v>
          </cell>
          <cell r="I49">
            <v>10601</v>
          </cell>
        </row>
        <row r="50">
          <cell r="E50" t="str">
            <v>자치행정국</v>
          </cell>
          <cell r="F50" t="str">
            <v>자치행정과</v>
          </cell>
          <cell r="G50" t="str">
            <v>안전행정위원회</v>
          </cell>
          <cell r="I50">
            <v>10602</v>
          </cell>
        </row>
        <row r="51">
          <cell r="E51" t="str">
            <v>자치행정국</v>
          </cell>
          <cell r="F51" t="str">
            <v>인사과</v>
          </cell>
          <cell r="G51" t="str">
            <v>안전행정위원회</v>
          </cell>
          <cell r="I51">
            <v>10603</v>
          </cell>
        </row>
        <row r="52">
          <cell r="E52" t="str">
            <v>자치행정국</v>
          </cell>
          <cell r="F52" t="str">
            <v>언제나민원실</v>
          </cell>
          <cell r="G52" t="str">
            <v>안전행정위원회</v>
          </cell>
          <cell r="I52">
            <v>10604</v>
          </cell>
        </row>
        <row r="53">
          <cell r="E53" t="str">
            <v>자치행정국</v>
          </cell>
          <cell r="F53" t="str">
            <v>세정과</v>
          </cell>
          <cell r="G53" t="str">
            <v>안전행정위원회</v>
          </cell>
          <cell r="I53">
            <v>10605</v>
          </cell>
        </row>
        <row r="54">
          <cell r="E54" t="str">
            <v>자치행정국</v>
          </cell>
          <cell r="F54" t="str">
            <v>세원관리과</v>
          </cell>
          <cell r="G54" t="str">
            <v>안전행정위원회</v>
          </cell>
          <cell r="I54">
            <v>10606</v>
          </cell>
        </row>
        <row r="55">
          <cell r="E55" t="str">
            <v>자치행정국</v>
          </cell>
          <cell r="F55" t="str">
            <v>회계과</v>
          </cell>
          <cell r="G55" t="str">
            <v>안전행정위원회</v>
          </cell>
          <cell r="I55">
            <v>10607</v>
          </cell>
        </row>
        <row r="56">
          <cell r="E56" t="str">
            <v>자치행정국</v>
          </cell>
          <cell r="F56" t="str">
            <v>특별사법경찰단</v>
          </cell>
          <cell r="G56" t="str">
            <v>안전행정위원회</v>
          </cell>
          <cell r="I56">
            <v>10608</v>
          </cell>
        </row>
        <row r="57">
          <cell r="E57" t="str">
            <v>균형발전기획실</v>
          </cell>
          <cell r="F57" t="str">
            <v>행정관리담당관</v>
          </cell>
          <cell r="G57" t="str">
            <v>안전행정위원회</v>
          </cell>
          <cell r="I57">
            <v>20203</v>
          </cell>
        </row>
        <row r="58">
          <cell r="E58" t="str">
            <v>균형발전기획실</v>
          </cell>
          <cell r="F58" t="str">
            <v>비상기획담당관</v>
          </cell>
          <cell r="G58" t="str">
            <v>안전행정위원회</v>
          </cell>
          <cell r="I58">
            <v>20206</v>
          </cell>
        </row>
        <row r="59">
          <cell r="E59" t="str">
            <v>재난안전본부</v>
          </cell>
          <cell r="F59" t="str">
            <v>소방행정과</v>
          </cell>
          <cell r="G59" t="str">
            <v>안전행정위원회</v>
          </cell>
          <cell r="I59">
            <v>40101</v>
          </cell>
        </row>
        <row r="60">
          <cell r="E60" t="str">
            <v>재난안전본부</v>
          </cell>
          <cell r="F60" t="str">
            <v>재난예방과</v>
          </cell>
          <cell r="G60" t="str">
            <v>안전행정위원회</v>
          </cell>
          <cell r="I60">
            <v>40102</v>
          </cell>
        </row>
        <row r="61">
          <cell r="E61" t="str">
            <v>재난안전본부</v>
          </cell>
          <cell r="F61" t="str">
            <v>대응구조구급과</v>
          </cell>
          <cell r="G61" t="str">
            <v>안전행정위원회</v>
          </cell>
          <cell r="I61">
            <v>40103</v>
          </cell>
        </row>
        <row r="62">
          <cell r="E62" t="str">
            <v>재난안전본부</v>
          </cell>
          <cell r="F62" t="str">
            <v>재난종합지휘센터</v>
          </cell>
          <cell r="G62" t="str">
            <v>안전행정위원회</v>
          </cell>
          <cell r="I62">
            <v>40104</v>
          </cell>
        </row>
        <row r="63">
          <cell r="E63" t="str">
            <v>재난안전본부</v>
          </cell>
          <cell r="F63" t="str">
            <v>안전교육훈련담당관</v>
          </cell>
          <cell r="G63" t="str">
            <v>안전행정위원회</v>
          </cell>
          <cell r="I63">
            <v>40105</v>
          </cell>
        </row>
        <row r="64">
          <cell r="E64" t="str">
            <v>재난안전본부</v>
          </cell>
          <cell r="F64" t="str">
            <v>청문감사담당관</v>
          </cell>
          <cell r="G64" t="str">
            <v>안전행정위원회</v>
          </cell>
          <cell r="I64">
            <v>40106</v>
          </cell>
        </row>
        <row r="65">
          <cell r="E65" t="str">
            <v>재난안전본부</v>
          </cell>
          <cell r="F65" t="str">
            <v>회계장비담당관</v>
          </cell>
          <cell r="G65" t="str">
            <v>안전행정위원회</v>
          </cell>
          <cell r="I65">
            <v>40107</v>
          </cell>
        </row>
        <row r="66"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>
            <v>40108</v>
          </cell>
        </row>
        <row r="67"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>
            <v>40109</v>
          </cell>
        </row>
        <row r="68">
          <cell r="E68" t="str">
            <v>재난안전본부</v>
          </cell>
          <cell r="F68" t="str">
            <v>사회재난과</v>
          </cell>
          <cell r="G68" t="str">
            <v>안전행정위원회</v>
          </cell>
          <cell r="I68">
            <v>40110</v>
          </cell>
        </row>
        <row r="69">
          <cell r="E69" t="str">
            <v>재난안전본부</v>
          </cell>
          <cell r="F69" t="str">
            <v>자연재난과</v>
          </cell>
          <cell r="G69" t="str">
            <v>안전행정위원회</v>
          </cell>
          <cell r="I69">
            <v>40111</v>
          </cell>
        </row>
        <row r="70">
          <cell r="E70" t="str">
            <v>재난안전본부</v>
          </cell>
          <cell r="F70" t="str">
            <v>기동안전점검단</v>
          </cell>
          <cell r="G70" t="str">
            <v>안전행정위원회</v>
          </cell>
          <cell r="I70">
            <v>40112</v>
          </cell>
        </row>
        <row r="71">
          <cell r="E71" t="str">
            <v>재난안전본부</v>
          </cell>
          <cell r="F71" t="str">
            <v>소방행정기획과</v>
          </cell>
          <cell r="G71" t="str">
            <v>안전행정위원회</v>
          </cell>
          <cell r="I71">
            <v>40201</v>
          </cell>
        </row>
        <row r="72">
          <cell r="E72" t="str">
            <v>재난안전본부</v>
          </cell>
          <cell r="F72" t="str">
            <v>대응구조과</v>
          </cell>
          <cell r="G72" t="str">
            <v>안전행정위원회</v>
          </cell>
          <cell r="I72">
            <v>40202</v>
          </cell>
        </row>
        <row r="73">
          <cell r="E73" t="str">
            <v>재난안전본부</v>
          </cell>
          <cell r="F73" t="str">
            <v>특수대응단(북부)</v>
          </cell>
          <cell r="G73" t="str">
            <v>안전행정위원회</v>
          </cell>
          <cell r="I73">
            <v>40203</v>
          </cell>
        </row>
        <row r="74">
          <cell r="E74" t="str">
            <v>재난안전본부</v>
          </cell>
          <cell r="F74" t="str">
            <v>교육지원과</v>
          </cell>
          <cell r="G74" t="str">
            <v>안전행정위원회</v>
          </cell>
          <cell r="I74">
            <v>40301</v>
          </cell>
        </row>
        <row r="75">
          <cell r="E75" t="str">
            <v>재난안전본부</v>
          </cell>
          <cell r="F75" t="str">
            <v>교육기획과</v>
          </cell>
          <cell r="G75" t="str">
            <v>안전행정위원회</v>
          </cell>
          <cell r="I75">
            <v>40302</v>
          </cell>
        </row>
        <row r="76">
          <cell r="E76" t="str">
            <v>재난안전본부</v>
          </cell>
          <cell r="F76" t="str">
            <v>교수운영과</v>
          </cell>
          <cell r="G76" t="str">
            <v>안전행정위원회</v>
          </cell>
          <cell r="I76">
            <v>40303</v>
          </cell>
        </row>
        <row r="77">
          <cell r="E77" t="str">
            <v>재난안전본부</v>
          </cell>
          <cell r="F77" t="str">
            <v>수원소방서</v>
          </cell>
          <cell r="G77" t="str">
            <v>안전행정위원회</v>
          </cell>
          <cell r="I77">
            <v>40401</v>
          </cell>
        </row>
        <row r="78">
          <cell r="E78" t="str">
            <v>재난안전본부</v>
          </cell>
          <cell r="F78" t="str">
            <v>성남소방서</v>
          </cell>
          <cell r="G78" t="str">
            <v>안전행정위원회</v>
          </cell>
          <cell r="I78">
            <v>40402</v>
          </cell>
        </row>
        <row r="79">
          <cell r="E79" t="str">
            <v>재난안전본부</v>
          </cell>
          <cell r="F79" t="str">
            <v>분당소방서</v>
          </cell>
          <cell r="G79" t="str">
            <v>안전행정위원회</v>
          </cell>
          <cell r="I79">
            <v>40403</v>
          </cell>
        </row>
        <row r="80">
          <cell r="E80" t="str">
            <v>재난안전본부</v>
          </cell>
          <cell r="F80" t="str">
            <v>고양소방서</v>
          </cell>
          <cell r="G80" t="str">
            <v>안전행정위원회</v>
          </cell>
          <cell r="I80">
            <v>40404</v>
          </cell>
        </row>
        <row r="81">
          <cell r="E81" t="str">
            <v>재난안전본부</v>
          </cell>
          <cell r="F81" t="str">
            <v>일산소방서</v>
          </cell>
          <cell r="G81" t="str">
            <v>안전행정위원회</v>
          </cell>
          <cell r="I81">
            <v>40405</v>
          </cell>
        </row>
        <row r="82">
          <cell r="E82" t="str">
            <v>재난안전본부</v>
          </cell>
          <cell r="F82" t="str">
            <v>부천소방서</v>
          </cell>
          <cell r="G82" t="str">
            <v>안전행정위원회</v>
          </cell>
          <cell r="I82">
            <v>40406</v>
          </cell>
        </row>
        <row r="83">
          <cell r="E83" t="str">
            <v>재난안전본부</v>
          </cell>
          <cell r="F83" t="str">
            <v>안양소방서</v>
          </cell>
          <cell r="G83" t="str">
            <v>안전행정위원회</v>
          </cell>
          <cell r="I83">
            <v>40407</v>
          </cell>
        </row>
        <row r="84">
          <cell r="E84" t="str">
            <v>재난안전본부</v>
          </cell>
          <cell r="F84" t="str">
            <v>안산소방서</v>
          </cell>
          <cell r="G84" t="str">
            <v>안전행정위원회</v>
          </cell>
          <cell r="I84">
            <v>40408</v>
          </cell>
        </row>
        <row r="85">
          <cell r="E85" t="str">
            <v>재난안전본부</v>
          </cell>
          <cell r="F85" t="str">
            <v>용인소방서</v>
          </cell>
          <cell r="G85" t="str">
            <v>안전행정위원회</v>
          </cell>
          <cell r="I85">
            <v>40409</v>
          </cell>
        </row>
        <row r="86">
          <cell r="E86" t="str">
            <v>재난안전본부</v>
          </cell>
          <cell r="F86" t="str">
            <v>의정부소방서</v>
          </cell>
          <cell r="G86" t="str">
            <v>안전행정위원회</v>
          </cell>
          <cell r="I86">
            <v>40410</v>
          </cell>
        </row>
        <row r="87">
          <cell r="E87" t="str">
            <v>재난안전본부</v>
          </cell>
          <cell r="F87" t="str">
            <v>남양주소방서</v>
          </cell>
          <cell r="G87" t="str">
            <v>안전행정위원회</v>
          </cell>
          <cell r="I87">
            <v>40411</v>
          </cell>
        </row>
        <row r="88">
          <cell r="E88" t="str">
            <v>재난안전본부</v>
          </cell>
          <cell r="F88" t="str">
            <v>평택소방서</v>
          </cell>
          <cell r="G88" t="str">
            <v>안전행정위원회</v>
          </cell>
          <cell r="I88">
            <v>40412</v>
          </cell>
        </row>
        <row r="89">
          <cell r="E89" t="str">
            <v>재난안전본부</v>
          </cell>
          <cell r="F89" t="str">
            <v>송탄소방서</v>
          </cell>
          <cell r="G89" t="str">
            <v>안전행정위원회</v>
          </cell>
          <cell r="I89">
            <v>40413</v>
          </cell>
        </row>
        <row r="90">
          <cell r="E90" t="str">
            <v>재난안전본부</v>
          </cell>
          <cell r="F90" t="str">
            <v>광명소방서</v>
          </cell>
          <cell r="G90" t="str">
            <v>안전행정위원회</v>
          </cell>
          <cell r="I90">
            <v>40414</v>
          </cell>
        </row>
        <row r="91">
          <cell r="E91" t="str">
            <v>재난안전본부</v>
          </cell>
          <cell r="F91" t="str">
            <v>시흥소방서</v>
          </cell>
          <cell r="G91" t="str">
            <v>안전행정위원회</v>
          </cell>
          <cell r="I91">
            <v>40415</v>
          </cell>
        </row>
        <row r="92">
          <cell r="E92" t="str">
            <v>재난안전본부</v>
          </cell>
          <cell r="F92" t="str">
            <v>군포소방서</v>
          </cell>
          <cell r="G92" t="str">
            <v>안전행정위원회</v>
          </cell>
          <cell r="I92">
            <v>40416</v>
          </cell>
        </row>
        <row r="93">
          <cell r="E93" t="str">
            <v>재난안전본부</v>
          </cell>
          <cell r="F93" t="str">
            <v>화성소방서</v>
          </cell>
          <cell r="G93" t="str">
            <v>안전행정위원회</v>
          </cell>
          <cell r="I93">
            <v>40417</v>
          </cell>
        </row>
        <row r="94">
          <cell r="E94" t="str">
            <v>재난안전본부</v>
          </cell>
          <cell r="F94" t="str">
            <v>파주소방서</v>
          </cell>
          <cell r="G94" t="str">
            <v>안전행정위원회</v>
          </cell>
          <cell r="I94">
            <v>40418</v>
          </cell>
        </row>
        <row r="95">
          <cell r="E95" t="str">
            <v>재난안전본부</v>
          </cell>
          <cell r="F95" t="str">
            <v>이천소방서</v>
          </cell>
          <cell r="G95" t="str">
            <v>안전행정위원회</v>
          </cell>
          <cell r="I95">
            <v>40419</v>
          </cell>
        </row>
        <row r="96">
          <cell r="E96" t="str">
            <v>재난안전본부</v>
          </cell>
          <cell r="F96" t="str">
            <v>구리소방서</v>
          </cell>
          <cell r="G96" t="str">
            <v>안전행정위원회</v>
          </cell>
          <cell r="I96">
            <v>40420</v>
          </cell>
        </row>
        <row r="97">
          <cell r="E97" t="str">
            <v>재난안전본부</v>
          </cell>
          <cell r="F97" t="str">
            <v>김포소방서</v>
          </cell>
          <cell r="G97" t="str">
            <v>안전행정위원회</v>
          </cell>
          <cell r="I97">
            <v>40421</v>
          </cell>
        </row>
        <row r="98">
          <cell r="E98" t="str">
            <v>재난안전본부</v>
          </cell>
          <cell r="F98" t="str">
            <v>포천소방서</v>
          </cell>
          <cell r="G98" t="str">
            <v>안전행정위원회</v>
          </cell>
          <cell r="I98">
            <v>40422</v>
          </cell>
        </row>
        <row r="99">
          <cell r="E99" t="str">
            <v>재난안전본부</v>
          </cell>
          <cell r="F99" t="str">
            <v>광주소방서</v>
          </cell>
          <cell r="G99" t="str">
            <v>안전행정위원회</v>
          </cell>
          <cell r="I99">
            <v>40423</v>
          </cell>
        </row>
        <row r="100">
          <cell r="E100" t="str">
            <v>재난안전본부</v>
          </cell>
          <cell r="F100" t="str">
            <v>안성소방서</v>
          </cell>
          <cell r="G100" t="str">
            <v>안전행정위원회</v>
          </cell>
          <cell r="I100">
            <v>40424</v>
          </cell>
        </row>
        <row r="101">
          <cell r="E101" t="str">
            <v>재난안전본부</v>
          </cell>
          <cell r="F101" t="str">
            <v>하남소방서</v>
          </cell>
          <cell r="G101" t="str">
            <v>안전행정위원회</v>
          </cell>
          <cell r="I101">
            <v>40425</v>
          </cell>
        </row>
        <row r="102">
          <cell r="E102" t="str">
            <v>재난안전본부</v>
          </cell>
          <cell r="F102" t="str">
            <v>의왕소방서</v>
          </cell>
          <cell r="G102" t="str">
            <v>안전행정위원회</v>
          </cell>
          <cell r="I102">
            <v>40426</v>
          </cell>
        </row>
        <row r="103">
          <cell r="E103" t="str">
            <v>재난안전본부</v>
          </cell>
          <cell r="F103" t="str">
            <v>양주소방서</v>
          </cell>
          <cell r="G103" t="str">
            <v>안전행정위원회</v>
          </cell>
          <cell r="I103">
            <v>40427</v>
          </cell>
        </row>
        <row r="104">
          <cell r="E104" t="str">
            <v>재난안전본부</v>
          </cell>
          <cell r="F104" t="str">
            <v>오산소방서</v>
          </cell>
          <cell r="G104" t="str">
            <v>안전행정위원회</v>
          </cell>
          <cell r="I104">
            <v>40428</v>
          </cell>
        </row>
        <row r="105">
          <cell r="E105" t="str">
            <v>재난안전본부</v>
          </cell>
          <cell r="F105" t="str">
            <v>여주소방서</v>
          </cell>
          <cell r="G105" t="str">
            <v>안전행정위원회</v>
          </cell>
          <cell r="I105">
            <v>40429</v>
          </cell>
        </row>
        <row r="106">
          <cell r="E106" t="str">
            <v>재난안전본부</v>
          </cell>
          <cell r="F106" t="str">
            <v>양평소방서</v>
          </cell>
          <cell r="G106" t="str">
            <v>안전행정위원회</v>
          </cell>
          <cell r="I106">
            <v>40430</v>
          </cell>
        </row>
        <row r="107">
          <cell r="E107" t="str">
            <v>재난안전본부</v>
          </cell>
          <cell r="F107" t="str">
            <v>동두천소방서</v>
          </cell>
          <cell r="G107" t="str">
            <v>안전행정위원회</v>
          </cell>
          <cell r="I107">
            <v>40431</v>
          </cell>
        </row>
        <row r="108">
          <cell r="E108" t="str">
            <v>재난안전본부</v>
          </cell>
          <cell r="F108" t="str">
            <v>과천소방서</v>
          </cell>
          <cell r="G108" t="str">
            <v>안전행정위원회</v>
          </cell>
          <cell r="I108">
            <v>40432</v>
          </cell>
        </row>
        <row r="109">
          <cell r="E109" t="str">
            <v>재난안전본부</v>
          </cell>
          <cell r="F109" t="str">
            <v>가평소방서</v>
          </cell>
          <cell r="G109" t="str">
            <v>안전행정위원회</v>
          </cell>
          <cell r="I109">
            <v>40433</v>
          </cell>
        </row>
        <row r="110">
          <cell r="E110" t="str">
            <v>재난안전본부</v>
          </cell>
          <cell r="F110" t="str">
            <v>연천소방서</v>
          </cell>
          <cell r="G110" t="str">
            <v>안전행정위원회</v>
          </cell>
          <cell r="I110">
            <v>40434</v>
          </cell>
        </row>
        <row r="111">
          <cell r="E111" t="str">
            <v>인재개발원</v>
          </cell>
          <cell r="F111" t="str">
            <v>교육컨설팅과</v>
          </cell>
          <cell r="G111" t="str">
            <v>안전행정위원회</v>
          </cell>
          <cell r="I111">
            <v>50301</v>
          </cell>
        </row>
        <row r="112">
          <cell r="E112" t="str">
            <v>인재개발원</v>
          </cell>
          <cell r="F112" t="str">
            <v>역량개발지원과</v>
          </cell>
          <cell r="G112" t="str">
            <v>안전행정위원회</v>
          </cell>
          <cell r="I112">
            <v>50302</v>
          </cell>
        </row>
        <row r="113">
          <cell r="E113" t="str">
            <v>인재개발원</v>
          </cell>
          <cell r="F113" t="str">
            <v>스마트교육과</v>
          </cell>
          <cell r="G113" t="str">
            <v>안전행정위원회</v>
          </cell>
          <cell r="I113">
            <v>50303</v>
          </cell>
        </row>
        <row r="114">
          <cell r="E114" t="str">
            <v>문화체육관광국</v>
          </cell>
          <cell r="F114" t="str">
            <v>문화정책과</v>
          </cell>
          <cell r="G114" t="str">
            <v>문화체육관광위원회</v>
          </cell>
          <cell r="I114">
            <v>10801</v>
          </cell>
        </row>
        <row r="115">
          <cell r="E115" t="str">
            <v>문화체육관광국</v>
          </cell>
          <cell r="F115" t="str">
            <v>종무과</v>
          </cell>
          <cell r="G115" t="str">
            <v>문화체육관광위원회</v>
          </cell>
          <cell r="I115">
            <v>10802</v>
          </cell>
        </row>
        <row r="116">
          <cell r="E116" t="str">
            <v>문화체육관광국</v>
          </cell>
          <cell r="F116" t="str">
            <v>체육과</v>
          </cell>
          <cell r="G116" t="str">
            <v>문화체육관광위원회</v>
          </cell>
          <cell r="I116">
            <v>10803</v>
          </cell>
        </row>
        <row r="117">
          <cell r="E117" t="str">
            <v>문화체육관광국</v>
          </cell>
          <cell r="F117" t="str">
            <v>문화유산과</v>
          </cell>
          <cell r="G117" t="str">
            <v>문화체육관광위원회</v>
          </cell>
          <cell r="I117">
            <v>10804</v>
          </cell>
        </row>
        <row r="118">
          <cell r="E118" t="str">
            <v>문화체육관광국</v>
          </cell>
          <cell r="F118" t="str">
            <v>콘텐츠산업과</v>
          </cell>
          <cell r="G118" t="str">
            <v>문화체육관광위원회</v>
          </cell>
          <cell r="I118">
            <v>10805</v>
          </cell>
        </row>
        <row r="119">
          <cell r="E119" t="str">
            <v>문화체육관광국</v>
          </cell>
          <cell r="F119" t="str">
            <v>관광과</v>
          </cell>
          <cell r="G119" t="str">
            <v>문화체육관광위원회</v>
          </cell>
          <cell r="I119">
            <v>10806</v>
          </cell>
        </row>
        <row r="120">
          <cell r="E120" t="str">
            <v>문화체육관광국</v>
          </cell>
          <cell r="F120" t="str">
            <v>한류월드사업단</v>
          </cell>
          <cell r="G120" t="str">
            <v>문화체육관광위원회</v>
          </cell>
          <cell r="I120">
            <v>10807</v>
          </cell>
        </row>
        <row r="121">
          <cell r="E121" t="str">
            <v>문화체육관광국</v>
          </cell>
          <cell r="F121" t="str">
            <v>남한산성세계유산센터</v>
          </cell>
          <cell r="G121" t="str">
            <v>문화체육관광위원회</v>
          </cell>
          <cell r="I121">
            <v>10808</v>
          </cell>
        </row>
        <row r="122">
          <cell r="E122" t="str">
            <v>농정해양국</v>
          </cell>
          <cell r="F122" t="str">
            <v>농업정책과</v>
          </cell>
          <cell r="G122" t="str">
            <v>농정해양위원회</v>
          </cell>
          <cell r="I122">
            <v>10901</v>
          </cell>
        </row>
        <row r="123">
          <cell r="E123" t="str">
            <v>농정해양국</v>
          </cell>
          <cell r="F123" t="str">
            <v>해양항만정책과</v>
          </cell>
          <cell r="G123" t="str">
            <v>농정해양위원회</v>
          </cell>
          <cell r="I123">
            <v>10902</v>
          </cell>
        </row>
        <row r="124">
          <cell r="E124" t="str">
            <v>농정해양국</v>
          </cell>
          <cell r="F124" t="str">
            <v>농식품유통과</v>
          </cell>
          <cell r="G124" t="str">
            <v>농정해양위원회</v>
          </cell>
          <cell r="I124">
            <v>10903</v>
          </cell>
        </row>
        <row r="125">
          <cell r="E125" t="str">
            <v>농정해양국</v>
          </cell>
          <cell r="F125" t="str">
            <v>친환경농업과</v>
          </cell>
          <cell r="G125" t="str">
            <v>농정해양위원회</v>
          </cell>
          <cell r="I125">
            <v>10904</v>
          </cell>
        </row>
        <row r="126">
          <cell r="E126" t="str">
            <v>농정해양국</v>
          </cell>
          <cell r="F126" t="str">
            <v>수산과</v>
          </cell>
          <cell r="G126" t="str">
            <v>농정해양위원회</v>
          </cell>
          <cell r="I126">
            <v>10905</v>
          </cell>
        </row>
        <row r="127">
          <cell r="E127" t="str">
            <v>농정해양국</v>
          </cell>
          <cell r="F127" t="str">
            <v>해양수산자원연구소</v>
          </cell>
          <cell r="G127" t="str">
            <v>농정해양위원회</v>
          </cell>
          <cell r="I127">
            <v>10906</v>
          </cell>
        </row>
        <row r="128">
          <cell r="E128" t="str">
            <v>농정해양국</v>
          </cell>
          <cell r="F128" t="str">
            <v>종자관리소</v>
          </cell>
          <cell r="G128" t="str">
            <v>농정해양위원회</v>
          </cell>
          <cell r="I128">
            <v>10907</v>
          </cell>
        </row>
        <row r="129">
          <cell r="E129" t="str">
            <v>축산산림국</v>
          </cell>
          <cell r="F129" t="str">
            <v>축산정책과</v>
          </cell>
          <cell r="G129" t="str">
            <v>농정해양위원회</v>
          </cell>
          <cell r="I129">
            <v>20401</v>
          </cell>
        </row>
        <row r="130">
          <cell r="E130" t="str">
            <v>축산산림국</v>
          </cell>
          <cell r="F130" t="str">
            <v>동물방역위생과</v>
          </cell>
          <cell r="G130" t="str">
            <v>농정해양위원회</v>
          </cell>
          <cell r="I130">
            <v>20402</v>
          </cell>
        </row>
        <row r="131">
          <cell r="E131" t="str">
            <v>축산산림국</v>
          </cell>
          <cell r="F131" t="str">
            <v>산림과</v>
          </cell>
          <cell r="G131" t="str">
            <v>농정해양위원회</v>
          </cell>
          <cell r="I131">
            <v>20403</v>
          </cell>
        </row>
        <row r="132">
          <cell r="E132" t="str">
            <v>축산산림국</v>
          </cell>
          <cell r="F132" t="str">
            <v>동물위생시험소</v>
          </cell>
          <cell r="G132" t="str">
            <v>농정해양위원회</v>
          </cell>
          <cell r="I132">
            <v>20405</v>
          </cell>
        </row>
        <row r="133">
          <cell r="E133" t="str">
            <v>축산산림국</v>
          </cell>
          <cell r="F133" t="str">
            <v>북부동물위생시험소</v>
          </cell>
          <cell r="G133" t="str">
            <v>농정해양위원회</v>
          </cell>
          <cell r="I133">
            <v>20406</v>
          </cell>
        </row>
        <row r="134">
          <cell r="E134" t="str">
            <v>축산산림국</v>
          </cell>
          <cell r="F134" t="str">
            <v>산림환경연구소</v>
          </cell>
          <cell r="G134" t="str">
            <v>농정해양위원회</v>
          </cell>
          <cell r="I134">
            <v>20407</v>
          </cell>
        </row>
        <row r="135">
          <cell r="E135" t="str">
            <v>축산산림국</v>
          </cell>
          <cell r="F135" t="str">
            <v>축산진흥센터</v>
          </cell>
          <cell r="G135" t="str">
            <v>농정해양위원회</v>
          </cell>
          <cell r="I135">
            <v>20408</v>
          </cell>
        </row>
        <row r="136">
          <cell r="E136" t="str">
            <v>농업기술원</v>
          </cell>
          <cell r="F136" t="str">
            <v>행정지원과</v>
          </cell>
          <cell r="G136" t="str">
            <v>농정해양위원회</v>
          </cell>
          <cell r="I136">
            <v>50201</v>
          </cell>
        </row>
        <row r="137">
          <cell r="E137" t="str">
            <v>농업기술원</v>
          </cell>
          <cell r="F137" t="str">
            <v>작물연구과</v>
          </cell>
          <cell r="G137" t="str">
            <v>농정해양위원회</v>
          </cell>
          <cell r="I137">
            <v>50202</v>
          </cell>
        </row>
        <row r="138">
          <cell r="E138" t="str">
            <v>농업기술원</v>
          </cell>
          <cell r="F138" t="str">
            <v>원예연구과</v>
          </cell>
          <cell r="G138" t="str">
            <v>농정해양위원회</v>
          </cell>
          <cell r="I138">
            <v>50203</v>
          </cell>
        </row>
        <row r="139">
          <cell r="E139" t="str">
            <v>농업기술원</v>
          </cell>
          <cell r="F139" t="str">
            <v>환경농업연구과</v>
          </cell>
          <cell r="G139" t="str">
            <v>농정해양위원회</v>
          </cell>
          <cell r="I139">
            <v>50204</v>
          </cell>
        </row>
        <row r="140">
          <cell r="E140" t="str">
            <v>농업기술원</v>
          </cell>
          <cell r="F140" t="str">
            <v>지도정책과</v>
          </cell>
          <cell r="G140" t="str">
            <v>농정해양위원회</v>
          </cell>
          <cell r="I140">
            <v>50205</v>
          </cell>
        </row>
        <row r="141">
          <cell r="E141" t="str">
            <v>농업기술원</v>
          </cell>
          <cell r="F141" t="str">
            <v>기술보급과</v>
          </cell>
          <cell r="G141" t="str">
            <v>농정해양위원회</v>
          </cell>
          <cell r="I141">
            <v>50206</v>
          </cell>
        </row>
        <row r="142">
          <cell r="E142" t="str">
            <v>농업기술원</v>
          </cell>
          <cell r="F142" t="str">
            <v>농촌자원과</v>
          </cell>
          <cell r="G142" t="str">
            <v>농정해양위원회</v>
          </cell>
          <cell r="I142">
            <v>50207</v>
          </cell>
        </row>
        <row r="143">
          <cell r="E143" t="str">
            <v>농업기술원</v>
          </cell>
          <cell r="F143" t="str">
            <v>버섯연구소</v>
          </cell>
          <cell r="G143" t="str">
            <v>농정해양위원회</v>
          </cell>
          <cell r="I143">
            <v>50208</v>
          </cell>
        </row>
        <row r="144">
          <cell r="E144" t="str">
            <v>농업기술원</v>
          </cell>
          <cell r="F144" t="str">
            <v>소득자원연구소</v>
          </cell>
          <cell r="G144" t="str">
            <v>농정해양위원회</v>
          </cell>
          <cell r="I144">
            <v>50209</v>
          </cell>
        </row>
        <row r="145">
          <cell r="E145" t="str">
            <v>농업기술원</v>
          </cell>
          <cell r="F145" t="str">
            <v>선인장다육식물연구소</v>
          </cell>
          <cell r="G145" t="str">
            <v>농정해양위원회</v>
          </cell>
          <cell r="I145">
            <v>50210</v>
          </cell>
        </row>
        <row r="146">
          <cell r="E146" t="str">
            <v>보건복지국</v>
          </cell>
          <cell r="F146" t="str">
            <v>복지정책과</v>
          </cell>
          <cell r="G146" t="str">
            <v>보건복지위원회</v>
          </cell>
          <cell r="I146">
            <v>11001</v>
          </cell>
        </row>
        <row r="147">
          <cell r="E147" t="str">
            <v>보건복지국</v>
          </cell>
          <cell r="F147" t="str">
            <v>사회적일자리과</v>
          </cell>
          <cell r="G147" t="str">
            <v>보건복지위원회</v>
          </cell>
          <cell r="I147">
            <v>11001</v>
          </cell>
        </row>
        <row r="148">
          <cell r="E148" t="str">
            <v>보건복지국</v>
          </cell>
          <cell r="F148" t="str">
            <v>노인복지과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장애인복지과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보건정책과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감염병관리과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건강증진과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식품안전과</v>
          </cell>
          <cell r="G153" t="str">
            <v>보건복지위원회</v>
          </cell>
          <cell r="I153">
            <v>11001</v>
          </cell>
        </row>
        <row r="154">
          <cell r="E154" t="str">
            <v>복지여성실</v>
          </cell>
          <cell r="F154" t="str">
            <v>사회복지담당관</v>
          </cell>
          <cell r="G154" t="str">
            <v>보건복지위원회</v>
          </cell>
          <cell r="I154">
            <v>11001</v>
          </cell>
        </row>
        <row r="155">
          <cell r="E155" t="str">
            <v>복지여성실</v>
          </cell>
          <cell r="F155" t="str">
            <v>보건위생담당관</v>
          </cell>
          <cell r="G155" t="str">
            <v>보건복지위원회</v>
          </cell>
          <cell r="I155">
            <v>11001</v>
          </cell>
        </row>
        <row r="156">
          <cell r="E156" t="str">
            <v>보건환경연구원</v>
          </cell>
          <cell r="F156" t="str">
            <v>운영지원과</v>
          </cell>
          <cell r="G156" t="str">
            <v>보건복지위원회</v>
          </cell>
          <cell r="I156">
            <v>50401</v>
          </cell>
        </row>
        <row r="157">
          <cell r="E157" t="str">
            <v>보건환경연구원</v>
          </cell>
          <cell r="F157" t="str">
            <v>식품의약품연구부</v>
          </cell>
          <cell r="G157" t="str">
            <v>보건복지위원회</v>
          </cell>
          <cell r="I157">
            <v>50402</v>
          </cell>
        </row>
        <row r="158">
          <cell r="E158" t="str">
            <v>보건환경연구원</v>
          </cell>
          <cell r="F158" t="str">
            <v>감염병연구부</v>
          </cell>
          <cell r="G158" t="str">
            <v>보건복지위원회</v>
          </cell>
          <cell r="I158">
            <v>50403</v>
          </cell>
        </row>
        <row r="159">
          <cell r="E159" t="str">
            <v>보건환경연구원</v>
          </cell>
          <cell r="F159" t="str">
            <v>북부지원</v>
          </cell>
          <cell r="G159" t="str">
            <v>보건복지위원회</v>
          </cell>
          <cell r="I159">
            <v>50406</v>
          </cell>
        </row>
        <row r="160">
          <cell r="E160" t="str">
            <v>철도국</v>
          </cell>
          <cell r="F160" t="str">
            <v>철도물류정책과</v>
          </cell>
          <cell r="G160" t="str">
            <v>건설교통위원회</v>
          </cell>
          <cell r="I160">
            <v>11301</v>
          </cell>
        </row>
        <row r="161">
          <cell r="E161" t="str">
            <v>철도국</v>
          </cell>
          <cell r="F161" t="str">
            <v>철도물류정책과</v>
          </cell>
          <cell r="G161" t="str">
            <v>건설교통위원회</v>
          </cell>
          <cell r="I161">
            <v>11301</v>
          </cell>
        </row>
        <row r="162">
          <cell r="E162" t="str">
            <v>철도국</v>
          </cell>
          <cell r="F162" t="str">
            <v>광역도시철도과</v>
          </cell>
          <cell r="G162" t="str">
            <v>건설교통위원회</v>
          </cell>
          <cell r="I162">
            <v>11302</v>
          </cell>
        </row>
        <row r="163">
          <cell r="E163" t="str">
            <v>철도국</v>
          </cell>
          <cell r="F163" t="str">
            <v>철도건설과</v>
          </cell>
          <cell r="G163" t="str">
            <v>건설교통위원회</v>
          </cell>
          <cell r="I163">
            <v>11303</v>
          </cell>
        </row>
        <row r="164">
          <cell r="E164" t="str">
            <v>교통국</v>
          </cell>
          <cell r="F164" t="str">
            <v>교통정책과</v>
          </cell>
          <cell r="G164" t="str">
            <v>건설교통위원회</v>
          </cell>
          <cell r="I164">
            <v>20501</v>
          </cell>
        </row>
        <row r="165">
          <cell r="E165" t="str">
            <v>교통국</v>
          </cell>
          <cell r="F165" t="str">
            <v>버스정책과</v>
          </cell>
          <cell r="G165" t="str">
            <v>건설교통위원회</v>
          </cell>
          <cell r="I165">
            <v>20502</v>
          </cell>
        </row>
        <row r="166">
          <cell r="E166" t="str">
            <v>교통국</v>
          </cell>
          <cell r="F166" t="str">
            <v>굿모닝버스추진단</v>
          </cell>
          <cell r="G166" t="str">
            <v>건설교통위원회</v>
          </cell>
          <cell r="I166">
            <v>20503</v>
          </cell>
        </row>
        <row r="167">
          <cell r="E167" t="str">
            <v>교통국</v>
          </cell>
          <cell r="F167" t="str">
            <v>택시정책과</v>
          </cell>
          <cell r="G167" t="str">
            <v>건설교통위원회</v>
          </cell>
          <cell r="I167">
            <v>20504</v>
          </cell>
        </row>
        <row r="168">
          <cell r="E168" t="str">
            <v>교통국</v>
          </cell>
          <cell r="F168" t="str">
            <v>교통정보센터</v>
          </cell>
          <cell r="G168" t="str">
            <v>건설교통위원회</v>
          </cell>
          <cell r="I168">
            <v>20505</v>
          </cell>
        </row>
        <row r="169">
          <cell r="E169" t="str">
            <v>건설국</v>
          </cell>
          <cell r="F169" t="str">
            <v>건설정책과</v>
          </cell>
          <cell r="G169" t="str">
            <v>건설교통위원회</v>
          </cell>
          <cell r="I169">
            <v>20601</v>
          </cell>
        </row>
        <row r="170">
          <cell r="E170" t="str">
            <v>건설국</v>
          </cell>
          <cell r="F170" t="str">
            <v>도로정책과</v>
          </cell>
          <cell r="G170" t="str">
            <v>건설교통위원회</v>
          </cell>
          <cell r="I170">
            <v>20602</v>
          </cell>
        </row>
        <row r="171">
          <cell r="E171" t="str">
            <v>건설국</v>
          </cell>
          <cell r="F171" t="str">
            <v>도로관리과</v>
          </cell>
          <cell r="G171" t="str">
            <v>건설교통위원회</v>
          </cell>
          <cell r="I171">
            <v>20603</v>
          </cell>
        </row>
        <row r="172">
          <cell r="E172" t="str">
            <v>건설국</v>
          </cell>
          <cell r="F172" t="str">
            <v>하천과</v>
          </cell>
          <cell r="G172" t="str">
            <v>건설교통위원회</v>
          </cell>
          <cell r="I172">
            <v>20604</v>
          </cell>
        </row>
        <row r="173">
          <cell r="E173" t="str">
            <v>건설본부</v>
          </cell>
          <cell r="F173" t="str">
            <v>관리과</v>
          </cell>
          <cell r="G173" t="str">
            <v>건설교통위원회</v>
          </cell>
          <cell r="I173">
            <v>50701</v>
          </cell>
        </row>
        <row r="174">
          <cell r="E174" t="str">
            <v>건설본부</v>
          </cell>
          <cell r="F174" t="str">
            <v>도로건설과</v>
          </cell>
          <cell r="G174" t="str">
            <v>건설교통위원회</v>
          </cell>
          <cell r="I174">
            <v>50702</v>
          </cell>
        </row>
        <row r="175">
          <cell r="E175" t="str">
            <v>건설본부</v>
          </cell>
          <cell r="F175" t="str">
            <v>북부도로과</v>
          </cell>
          <cell r="G175" t="str">
            <v>건설교통위원회</v>
          </cell>
          <cell r="I175">
            <v>50703</v>
          </cell>
        </row>
        <row r="176">
          <cell r="E176" t="str">
            <v>건설본부</v>
          </cell>
          <cell r="F176" t="str">
            <v>건축시설과</v>
          </cell>
          <cell r="G176" t="str">
            <v>건설교통위원회</v>
          </cell>
          <cell r="I176">
            <v>50704</v>
          </cell>
        </row>
        <row r="177">
          <cell r="E177" t="str">
            <v>건설본부</v>
          </cell>
          <cell r="F177" t="str">
            <v>경기융합타운추진단</v>
          </cell>
          <cell r="G177" t="str">
            <v>건설교통위원회</v>
          </cell>
          <cell r="I177">
            <v>50705</v>
          </cell>
        </row>
        <row r="178">
          <cell r="E178" t="str">
            <v>도시주택실</v>
          </cell>
          <cell r="F178" t="str">
            <v>지역정책과</v>
          </cell>
          <cell r="G178" t="str">
            <v>도시환경위원회</v>
          </cell>
          <cell r="I178">
            <v>10501</v>
          </cell>
        </row>
        <row r="179">
          <cell r="E179" t="str">
            <v>도시주택실</v>
          </cell>
          <cell r="F179" t="str">
            <v>도시정책과</v>
          </cell>
          <cell r="G179" t="str">
            <v>도시환경위원회</v>
          </cell>
          <cell r="I179">
            <v>10502</v>
          </cell>
        </row>
        <row r="180">
          <cell r="E180" t="str">
            <v>도시주택실</v>
          </cell>
          <cell r="F180" t="str">
            <v>도시주택과</v>
          </cell>
          <cell r="G180" t="str">
            <v>도시환경위원회</v>
          </cell>
          <cell r="I180">
            <v>10503</v>
          </cell>
        </row>
        <row r="181">
          <cell r="E181" t="str">
            <v>도시주택실</v>
          </cell>
          <cell r="F181" t="str">
            <v>주택정책과</v>
          </cell>
          <cell r="G181" t="str">
            <v>도시환경위원회</v>
          </cell>
          <cell r="I181">
            <v>10504</v>
          </cell>
        </row>
        <row r="182">
          <cell r="E182" t="str">
            <v>도시주택실</v>
          </cell>
          <cell r="F182" t="str">
            <v>건축디자인과</v>
          </cell>
          <cell r="G182" t="str">
            <v>도시환경위원회</v>
          </cell>
          <cell r="I182">
            <v>10505</v>
          </cell>
        </row>
        <row r="183">
          <cell r="E183" t="str">
            <v>도시주택실</v>
          </cell>
          <cell r="F183" t="str">
            <v>공공택지과</v>
          </cell>
          <cell r="G183" t="str">
            <v>도시환경위원회</v>
          </cell>
          <cell r="I183">
            <v>10506</v>
          </cell>
        </row>
        <row r="184">
          <cell r="E184" t="str">
            <v>도시주택실</v>
          </cell>
          <cell r="F184" t="str">
            <v>토지정보과</v>
          </cell>
          <cell r="G184" t="str">
            <v>도시환경위원회</v>
          </cell>
          <cell r="I184">
            <v>10507</v>
          </cell>
        </row>
        <row r="185">
          <cell r="E185" t="str">
            <v>도시주택실</v>
          </cell>
          <cell r="F185" t="str">
            <v>공동주택과</v>
          </cell>
          <cell r="G185" t="str">
            <v>도시환경위원회</v>
          </cell>
          <cell r="I185">
            <v>10508</v>
          </cell>
        </row>
        <row r="186">
          <cell r="E186" t="str">
            <v>도시주택실</v>
          </cell>
          <cell r="F186" t="str">
            <v>따복하우스과</v>
          </cell>
          <cell r="G186" t="str">
            <v>도시환경위원회</v>
          </cell>
          <cell r="I186">
            <v>10509</v>
          </cell>
        </row>
        <row r="187">
          <cell r="E187" t="str">
            <v>도시주택실</v>
          </cell>
          <cell r="F187" t="str">
            <v>도시재생과</v>
          </cell>
          <cell r="G187" t="str">
            <v>도시환경위원회</v>
          </cell>
          <cell r="I187">
            <v>10510</v>
          </cell>
        </row>
        <row r="188">
          <cell r="E188" t="str">
            <v>도시주택실</v>
          </cell>
          <cell r="F188" t="str">
            <v>도시계획상임기획단</v>
          </cell>
          <cell r="G188" t="str">
            <v>도시환경위원회</v>
          </cell>
          <cell r="I188">
            <v>10511</v>
          </cell>
        </row>
        <row r="189">
          <cell r="E189" t="str">
            <v>환경국</v>
          </cell>
          <cell r="F189" t="str">
            <v>환경정책과</v>
          </cell>
          <cell r="G189" t="str">
            <v>도시환경위원회</v>
          </cell>
          <cell r="I189">
            <v>11101</v>
          </cell>
        </row>
        <row r="190">
          <cell r="E190" t="str">
            <v>환경국</v>
          </cell>
          <cell r="F190" t="str">
            <v>기후대기과</v>
          </cell>
          <cell r="G190" t="str">
            <v>도시환경위원회</v>
          </cell>
          <cell r="I190">
            <v>11102</v>
          </cell>
        </row>
        <row r="191">
          <cell r="E191" t="str">
            <v>환경국</v>
          </cell>
          <cell r="F191" t="str">
            <v>환경안전관리과</v>
          </cell>
          <cell r="G191" t="str">
            <v>도시환경위원회</v>
          </cell>
          <cell r="I191">
            <v>11103</v>
          </cell>
        </row>
        <row r="192">
          <cell r="E192" t="str">
            <v>환경국</v>
          </cell>
          <cell r="F192" t="str">
            <v>자원순환과</v>
          </cell>
          <cell r="G192" t="str">
            <v>도시환경위원회</v>
          </cell>
          <cell r="I192">
            <v>11104</v>
          </cell>
        </row>
        <row r="193">
          <cell r="E193" t="str">
            <v>환경국</v>
          </cell>
          <cell r="F193" t="str">
            <v>북부환경관리과</v>
          </cell>
          <cell r="G193" t="str">
            <v>도시환경위원회</v>
          </cell>
          <cell r="I193">
            <v>11105</v>
          </cell>
        </row>
        <row r="194">
          <cell r="E194" t="str">
            <v>환경국</v>
          </cell>
          <cell r="F194" t="str">
            <v>공단환경관리사업소</v>
          </cell>
          <cell r="G194" t="str">
            <v>도시환경위원회</v>
          </cell>
          <cell r="I194">
            <v>11106</v>
          </cell>
        </row>
        <row r="195">
          <cell r="E195" t="str">
            <v>축산산림국</v>
          </cell>
          <cell r="F195" t="str">
            <v>공원녹지과</v>
          </cell>
          <cell r="G195" t="str">
            <v>도시환경위원회</v>
          </cell>
          <cell r="I195">
            <v>20404</v>
          </cell>
        </row>
        <row r="196">
          <cell r="E196" t="str">
            <v>보건환경연구원</v>
          </cell>
          <cell r="F196" t="str">
            <v>대기연구부</v>
          </cell>
          <cell r="G196" t="str">
            <v>도시환경위원회</v>
          </cell>
          <cell r="I196">
            <v>50404</v>
          </cell>
        </row>
        <row r="197">
          <cell r="E197" t="str">
            <v>보건환경연구원</v>
          </cell>
          <cell r="F197" t="str">
            <v>물환경연구부</v>
          </cell>
          <cell r="G197" t="str">
            <v>도시환경위원회</v>
          </cell>
          <cell r="I197">
            <v>50405</v>
          </cell>
        </row>
        <row r="198">
          <cell r="E198" t="str">
            <v>보건환경연구원</v>
          </cell>
          <cell r="F198" t="str">
            <v>북부지원</v>
          </cell>
          <cell r="G198" t="str">
            <v>도시환경위원회</v>
          </cell>
          <cell r="I198">
            <v>50406</v>
          </cell>
        </row>
        <row r="199">
          <cell r="E199" t="str">
            <v>수자원본부</v>
          </cell>
          <cell r="F199" t="str">
            <v>수질정책과</v>
          </cell>
          <cell r="G199" t="str">
            <v>도시환경위원회</v>
          </cell>
          <cell r="I199">
            <v>50601</v>
          </cell>
        </row>
        <row r="200">
          <cell r="E200" t="str">
            <v>수자원본부</v>
          </cell>
          <cell r="F200" t="str">
            <v>수질관리과</v>
          </cell>
          <cell r="G200" t="str">
            <v>도시환경위원회</v>
          </cell>
          <cell r="I200">
            <v>50602</v>
          </cell>
        </row>
        <row r="201">
          <cell r="E201" t="str">
            <v>수자원본부</v>
          </cell>
          <cell r="F201" t="str">
            <v>상하수과</v>
          </cell>
          <cell r="G201" t="str">
            <v>도시환경위원회</v>
          </cell>
          <cell r="I201">
            <v>50603</v>
          </cell>
        </row>
        <row r="202">
          <cell r="E202" t="str">
            <v>수자원본부</v>
          </cell>
          <cell r="F202" t="str">
            <v>수질총량과</v>
          </cell>
          <cell r="G202" t="str">
            <v>도시환경위원회</v>
          </cell>
          <cell r="I202">
            <v>50604</v>
          </cell>
        </row>
        <row r="203">
          <cell r="E203" t="str">
            <v>교육협력국</v>
          </cell>
          <cell r="F203" t="str">
            <v>교육정책과</v>
          </cell>
          <cell r="G203" t="str">
            <v>여성가족교육협력위원회</v>
          </cell>
          <cell r="I203">
            <v>10701</v>
          </cell>
        </row>
        <row r="204">
          <cell r="E204" t="str">
            <v>교육협력국</v>
          </cell>
          <cell r="F204" t="str">
            <v>교육협력과</v>
          </cell>
          <cell r="G204" t="str">
            <v>여성가족교육협력위원회</v>
          </cell>
          <cell r="I204">
            <v>10702</v>
          </cell>
        </row>
        <row r="205">
          <cell r="E205" t="str">
            <v>교육협력국</v>
          </cell>
          <cell r="F205" t="str">
            <v>도서관정책과</v>
          </cell>
          <cell r="G205" t="str">
            <v>여성가족교육협력위원회</v>
          </cell>
          <cell r="I205">
            <v>10703</v>
          </cell>
        </row>
        <row r="206">
          <cell r="E206" t="str">
            <v>여성가족국</v>
          </cell>
          <cell r="F206" t="str">
            <v>여성정책과</v>
          </cell>
          <cell r="G206" t="str">
            <v>여성가족교육협력위원회</v>
          </cell>
          <cell r="I206">
            <v>11201</v>
          </cell>
        </row>
        <row r="207">
          <cell r="E207" t="str">
            <v>여성가족국</v>
          </cell>
          <cell r="F207" t="str">
            <v>여성권익가족과</v>
          </cell>
          <cell r="G207" t="str">
            <v>여성가족교육협력위원회</v>
          </cell>
          <cell r="I207">
            <v>11201</v>
          </cell>
        </row>
        <row r="208">
          <cell r="E208" t="str">
            <v>여성가족국</v>
          </cell>
          <cell r="F208" t="str">
            <v>보육정책과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아동청소년과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다문화가족과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여성비전센터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복지여성실</v>
          </cell>
          <cell r="F212" t="str">
            <v>가족복지담당관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복지여성실</v>
          </cell>
          <cell r="F213" t="str">
            <v>북부여성비전담당관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보육청소년담당관</v>
          </cell>
          <cell r="G214" t="str">
            <v>여성가족교육협력위원회</v>
          </cell>
          <cell r="I214">
            <v>11201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644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645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646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647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648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649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650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651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652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653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654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655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656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657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658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659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660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661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662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663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664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665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666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667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668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669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670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671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672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673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674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675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676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677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678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679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680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681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682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683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684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685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686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687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688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689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690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691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692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693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694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695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696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697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698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699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700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701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702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703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704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705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706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707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708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709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710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711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712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713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714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715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716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717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718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719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720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721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722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723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724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725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726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727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728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729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730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731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732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733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734</v>
      </c>
    </row>
    <row r="94" spans="1:9">
      <c r="A94" s="212" t="s">
        <v>735</v>
      </c>
      <c r="B94" s="212" t="s">
        <v>71</v>
      </c>
      <c r="C94" s="212" t="s">
        <v>72</v>
      </c>
      <c r="D94" s="1"/>
      <c r="E94" s="212" t="s">
        <v>72</v>
      </c>
      <c r="F94" s="212" t="s">
        <v>735</v>
      </c>
      <c r="G94" s="212" t="s">
        <v>71</v>
      </c>
      <c r="H94" s="212" t="s">
        <v>184</v>
      </c>
      <c r="I94" s="212" t="s">
        <v>736</v>
      </c>
    </row>
    <row r="95" spans="1:9">
      <c r="A95" s="212" t="s">
        <v>737</v>
      </c>
      <c r="B95" s="212" t="s">
        <v>71</v>
      </c>
      <c r="C95" s="212" t="s">
        <v>72</v>
      </c>
      <c r="D95" s="1"/>
      <c r="E95" s="212" t="s">
        <v>72</v>
      </c>
      <c r="F95" s="212" t="s">
        <v>737</v>
      </c>
      <c r="G95" s="212" t="s">
        <v>71</v>
      </c>
      <c r="H95" s="212" t="s">
        <v>186</v>
      </c>
      <c r="I95" s="212" t="s">
        <v>738</v>
      </c>
    </row>
    <row r="96" spans="1:9">
      <c r="A96" s="212" t="s">
        <v>739</v>
      </c>
      <c r="B96" s="212" t="s">
        <v>71</v>
      </c>
      <c r="C96" s="212" t="s">
        <v>72</v>
      </c>
      <c r="D96" s="1"/>
      <c r="E96" s="212" t="s">
        <v>72</v>
      </c>
      <c r="F96" s="212" t="s">
        <v>739</v>
      </c>
      <c r="G96" s="212" t="s">
        <v>71</v>
      </c>
      <c r="H96" s="212" t="s">
        <v>188</v>
      </c>
      <c r="I96" s="212" t="s">
        <v>740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741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742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743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744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745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746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747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748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749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750</v>
      </c>
    </row>
    <row r="107" spans="1:9">
      <c r="A107" s="212" t="s">
        <v>751</v>
      </c>
      <c r="B107" s="212" t="s">
        <v>232</v>
      </c>
      <c r="C107" s="212" t="s">
        <v>248</v>
      </c>
      <c r="D107" s="1"/>
      <c r="E107" s="212" t="s">
        <v>248</v>
      </c>
      <c r="F107" s="212" t="s">
        <v>751</v>
      </c>
      <c r="G107" s="212" t="s">
        <v>232</v>
      </c>
      <c r="H107" s="212" t="s">
        <v>210</v>
      </c>
      <c r="I107" s="212" t="s">
        <v>752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753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754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755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756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757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758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759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760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761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762</v>
      </c>
    </row>
    <row r="118" spans="1:9">
      <c r="A118" s="212" t="s">
        <v>763</v>
      </c>
      <c r="B118" s="212" t="s">
        <v>304</v>
      </c>
      <c r="C118" s="212" t="s">
        <v>312</v>
      </c>
      <c r="D118" s="1"/>
      <c r="E118" s="212" t="s">
        <v>312</v>
      </c>
      <c r="F118" s="212" t="s">
        <v>763</v>
      </c>
      <c r="G118" s="212" t="s">
        <v>304</v>
      </c>
      <c r="H118" s="212" t="s">
        <v>236</v>
      </c>
      <c r="I118" s="212" t="s">
        <v>764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765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766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767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768</v>
      </c>
    </row>
    <row r="123" spans="1:9">
      <c r="A123" s="212" t="s">
        <v>770</v>
      </c>
      <c r="B123" s="212" t="s">
        <v>6</v>
      </c>
      <c r="C123" s="212" t="s">
        <v>769</v>
      </c>
      <c r="D123" s="1"/>
      <c r="E123" s="212" t="s">
        <v>769</v>
      </c>
      <c r="F123" s="212" t="s">
        <v>770</v>
      </c>
      <c r="G123" s="212" t="s">
        <v>6</v>
      </c>
      <c r="H123" s="212" t="s">
        <v>246</v>
      </c>
      <c r="I123" s="212" t="s">
        <v>771</v>
      </c>
    </row>
    <row r="124" spans="1:9">
      <c r="A124" s="212" t="s">
        <v>510</v>
      </c>
      <c r="B124" s="212" t="s">
        <v>6</v>
      </c>
      <c r="C124" s="212" t="s">
        <v>769</v>
      </c>
      <c r="D124" s="1"/>
      <c r="E124" s="212" t="s">
        <v>769</v>
      </c>
      <c r="F124" s="212" t="s">
        <v>510</v>
      </c>
      <c r="G124" s="212" t="s">
        <v>6</v>
      </c>
      <c r="H124" s="212" t="s">
        <v>249</v>
      </c>
      <c r="I124" s="212" t="s">
        <v>772</v>
      </c>
    </row>
    <row r="125" spans="1:9">
      <c r="A125" s="212" t="s">
        <v>26</v>
      </c>
      <c r="B125" s="212" t="s">
        <v>6</v>
      </c>
      <c r="C125" s="212" t="s">
        <v>769</v>
      </c>
      <c r="D125" s="1"/>
      <c r="E125" s="212" t="s">
        <v>769</v>
      </c>
      <c r="F125" s="212" t="s">
        <v>26</v>
      </c>
      <c r="G125" s="212" t="s">
        <v>6</v>
      </c>
      <c r="H125" s="212" t="s">
        <v>251</v>
      </c>
      <c r="I125" s="212" t="s">
        <v>773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774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775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776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777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778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779</v>
      </c>
    </row>
    <row r="132" spans="1:9">
      <c r="A132" s="212" t="s">
        <v>780</v>
      </c>
      <c r="B132" s="212" t="s">
        <v>103</v>
      </c>
      <c r="C132" s="212" t="s">
        <v>121</v>
      </c>
      <c r="D132" s="1"/>
      <c r="E132" s="212" t="s">
        <v>121</v>
      </c>
      <c r="F132" s="212" t="s">
        <v>780</v>
      </c>
      <c r="G132" s="212" t="s">
        <v>103</v>
      </c>
      <c r="H132" s="212" t="s">
        <v>263</v>
      </c>
      <c r="I132" s="212" t="s">
        <v>781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782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783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784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785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786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787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788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789</v>
      </c>
    </row>
    <row r="141" spans="1:9">
      <c r="A141" s="212" t="s">
        <v>790</v>
      </c>
      <c r="B141" s="212" t="s">
        <v>103</v>
      </c>
      <c r="C141" s="212" t="s">
        <v>121</v>
      </c>
      <c r="D141" s="1"/>
      <c r="E141" s="212" t="s">
        <v>121</v>
      </c>
      <c r="F141" s="212" t="s">
        <v>790</v>
      </c>
      <c r="G141" s="212" t="s">
        <v>103</v>
      </c>
      <c r="H141" s="212" t="s">
        <v>281</v>
      </c>
      <c r="I141" s="212" t="s">
        <v>791</v>
      </c>
    </row>
    <row r="142" spans="1:9">
      <c r="A142" s="212" t="s">
        <v>792</v>
      </c>
      <c r="B142" s="212" t="s">
        <v>103</v>
      </c>
      <c r="C142" s="212" t="s">
        <v>121</v>
      </c>
      <c r="D142" s="1"/>
      <c r="E142" s="212" t="s">
        <v>121</v>
      </c>
      <c r="F142" s="212" t="s">
        <v>792</v>
      </c>
      <c r="G142" s="212" t="s">
        <v>103</v>
      </c>
      <c r="H142" s="212" t="s">
        <v>283</v>
      </c>
      <c r="I142" s="212" t="s">
        <v>793</v>
      </c>
    </row>
    <row r="143" spans="1:9">
      <c r="A143" s="212" t="s">
        <v>794</v>
      </c>
      <c r="B143" s="212" t="s">
        <v>103</v>
      </c>
      <c r="C143" s="212" t="s">
        <v>121</v>
      </c>
      <c r="D143" s="1"/>
      <c r="E143" s="212" t="s">
        <v>121</v>
      </c>
      <c r="F143" s="212" t="s">
        <v>794</v>
      </c>
      <c r="G143" s="212" t="s">
        <v>103</v>
      </c>
      <c r="H143" s="212" t="s">
        <v>285</v>
      </c>
      <c r="I143" s="212" t="s">
        <v>795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796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797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798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799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800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801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802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803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804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805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806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807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808</v>
      </c>
    </row>
    <row r="157" spans="1:9">
      <c r="A157" s="212" t="s">
        <v>193</v>
      </c>
      <c r="B157" s="212" t="s">
        <v>103</v>
      </c>
      <c r="C157" s="212" t="s">
        <v>121</v>
      </c>
      <c r="D157" s="476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809</v>
      </c>
    </row>
    <row r="158" spans="1:9">
      <c r="A158" s="212" t="s">
        <v>155</v>
      </c>
      <c r="B158" s="212" t="s">
        <v>103</v>
      </c>
      <c r="C158" s="212" t="s">
        <v>121</v>
      </c>
      <c r="D158" s="476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810</v>
      </c>
    </row>
    <row r="159" spans="1:9">
      <c r="A159" s="212" t="s">
        <v>157</v>
      </c>
      <c r="B159" s="212" t="s">
        <v>103</v>
      </c>
      <c r="C159" s="212" t="s">
        <v>121</v>
      </c>
      <c r="D159" s="476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811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812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813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814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815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816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817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818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819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820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821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822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823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824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825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826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827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828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829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830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831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832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833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834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835</v>
      </c>
    </row>
    <row r="184" spans="1:9">
      <c r="A184" s="212" t="s">
        <v>836</v>
      </c>
      <c r="B184" s="212" t="s">
        <v>6</v>
      </c>
      <c r="C184" s="212" t="s">
        <v>7</v>
      </c>
      <c r="D184" s="1"/>
      <c r="E184" s="212" t="s">
        <v>7</v>
      </c>
      <c r="F184" s="212" t="s">
        <v>836</v>
      </c>
      <c r="G184" s="212" t="s">
        <v>6</v>
      </c>
      <c r="H184" s="212" t="s">
        <v>369</v>
      </c>
      <c r="I184" s="212" t="s">
        <v>837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838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839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840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841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842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843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844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845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846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847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848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849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850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851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852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853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854</v>
      </c>
    </row>
    <row r="202" spans="1:9">
      <c r="A202" s="212" t="s">
        <v>855</v>
      </c>
      <c r="B202" s="212" t="s">
        <v>339</v>
      </c>
      <c r="C202" s="212" t="s">
        <v>297</v>
      </c>
      <c r="D202" s="1"/>
      <c r="E202" s="212" t="s">
        <v>297</v>
      </c>
      <c r="F202" s="212" t="s">
        <v>855</v>
      </c>
      <c r="G202" s="212" t="s">
        <v>339</v>
      </c>
      <c r="H202" s="212" t="s">
        <v>402</v>
      </c>
      <c r="I202" s="212" t="s">
        <v>856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857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858</v>
      </c>
    </row>
    <row r="205" spans="1:9">
      <c r="A205" s="3" t="s">
        <v>301</v>
      </c>
      <c r="B205" s="3" t="s">
        <v>875</v>
      </c>
      <c r="C205" s="3" t="s">
        <v>297</v>
      </c>
      <c r="D205" s="1"/>
      <c r="E205" s="3" t="s">
        <v>297</v>
      </c>
      <c r="F205" s="3" t="s">
        <v>301</v>
      </c>
      <c r="G205" s="3" t="s">
        <v>875</v>
      </c>
      <c r="H205" s="3" t="s">
        <v>538</v>
      </c>
      <c r="I205" s="3" t="s">
        <v>859</v>
      </c>
    </row>
    <row r="206" spans="1:9">
      <c r="A206" s="3" t="s">
        <v>301</v>
      </c>
      <c r="B206" s="3" t="s">
        <v>876</v>
      </c>
      <c r="C206" s="3" t="s">
        <v>297</v>
      </c>
      <c r="D206" s="1"/>
      <c r="E206" s="3" t="s">
        <v>297</v>
      </c>
      <c r="F206" s="3" t="s">
        <v>301</v>
      </c>
      <c r="G206" s="3" t="s">
        <v>876</v>
      </c>
      <c r="H206" s="3" t="s">
        <v>538</v>
      </c>
      <c r="I206" s="3" t="s">
        <v>859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860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861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862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863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864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865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866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867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868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869</v>
      </c>
      <c r="I216" s="212" t="s">
        <v>870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871</v>
      </c>
      <c r="I217" s="212" t="s">
        <v>872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873</v>
      </c>
      <c r="I218" s="212" t="s">
        <v>874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IFERROR(INDEX('1추일출'!AF6:AF112,MATCH("*예비비*",'1추일출'!H6:H112,0)),0)</f>
        <v>0</v>
      </c>
      <c r="L1" s="66" t="s">
        <v>506</v>
      </c>
      <c r="M1" s="56">
        <f>I1+K1</f>
        <v>0</v>
      </c>
    </row>
    <row r="2" spans="1:13" ht="24.95" customHeight="1">
      <c r="M2" s="14" t="s">
        <v>502</v>
      </c>
    </row>
    <row r="3" spans="1:13" ht="24.95" customHeight="1">
      <c r="A3" s="537" t="s">
        <v>488</v>
      </c>
      <c r="B3" s="57" t="s">
        <v>501</v>
      </c>
      <c r="C3" s="58"/>
      <c r="D3" s="58"/>
      <c r="E3" s="58"/>
      <c r="F3" s="58"/>
      <c r="H3" s="537" t="s">
        <v>488</v>
      </c>
      <c r="I3" s="57" t="s">
        <v>503</v>
      </c>
      <c r="J3" s="58"/>
      <c r="K3" s="58"/>
      <c r="L3" s="58"/>
      <c r="M3" s="58"/>
    </row>
    <row r="4" spans="1:13" ht="24.95" customHeight="1">
      <c r="A4" s="537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537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5" customHeight="1">
      <c r="A5" s="60" t="s">
        <v>493</v>
      </c>
      <c r="B5" s="61">
        <f>SUM(B6:B13)/2</f>
        <v>0</v>
      </c>
      <c r="C5" s="60" t="str">
        <f>IF(B5=SUM('1추일입'!K6:L6),"OK","@@")</f>
        <v>@@</v>
      </c>
      <c r="D5" s="61">
        <f>SUM(D6:D13)/2</f>
        <v>170000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494</v>
      </c>
      <c r="B6" s="63">
        <f>SUM(B7:B8)</f>
        <v>0</v>
      </c>
      <c r="C6" s="62" t="str">
        <f>IF(B6='1추일입'!Y6,"OK","@@")</f>
        <v>OK</v>
      </c>
      <c r="D6" s="63">
        <f>SUM(D7:D8)</f>
        <v>170000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495</v>
      </c>
      <c r="B7" s="55">
        <f>SUMIFS('1추일입'!Y6:Y40,'1추일입'!W6:W40,"도비")</f>
        <v>0</v>
      </c>
      <c r="C7" s="54"/>
      <c r="D7" s="55">
        <f>SUMIFS('1추일출'!$AA$6:$AA$112,'1추일출'!$Y$6:$Y$112,"도비")</f>
        <v>170000</v>
      </c>
      <c r="E7" s="54"/>
      <c r="F7" s="55"/>
      <c r="H7" s="54" t="s">
        <v>495</v>
      </c>
      <c r="I7" s="55">
        <f>SUMIFS('1추일입'!AD6:AD40,'1추일입'!AB6:AB40,"국비")</f>
        <v>0</v>
      </c>
      <c r="J7" s="54"/>
      <c r="K7" s="55">
        <f>SUMIFS('1추일출'!$AF$6:$AF$112,'1추일출'!$AD$6:$AD$112,"도비")</f>
        <v>0</v>
      </c>
      <c r="L7" s="54"/>
      <c r="M7" s="55"/>
    </row>
    <row r="8" spans="1:13" ht="24.95" customHeight="1">
      <c r="A8" s="54" t="s">
        <v>496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SUMIFS('1추일출'!$AA$6:$AA$112,'1추일출'!$Y$6:$Y$112,"국비")+SUMIFS('1추일출'!$AA$6:$AA$112,'1추일출'!$Y$6:$Y$112,"지특")+SUMIFS('1추일출'!$AA$6:$AA$112,'1추일출'!$Y$6:$Y$112,"기금")+SUMIFS('1추일출'!$AA$6:$AA$112,'1추일출'!$Y$6:$Y$112,"특교")</f>
        <v>0</v>
      </c>
      <c r="E8" s="54"/>
      <c r="F8" s="55"/>
      <c r="H8" s="54" t="s">
        <v>496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$112,'1추일출'!$AD$6:$AD$112,"국비")+SUMIFS('1추일출'!$AF$6:$AF$112,'1추일출'!$AD$6:$AD$112,"지특")+SUMIFS('1추일출'!$AF$6:$AF$112,'1추일출'!$AD$6:$AD$112,"기금")+SUMIFS('1추일출'!$AF$6:$AF$112,'1추일출'!$AD$6:$AD$112,"특교")</f>
        <v>0</v>
      </c>
      <c r="L8" s="54"/>
      <c r="M8" s="55"/>
    </row>
    <row r="9" spans="1:13" ht="24.95" customHeight="1">
      <c r="A9" s="62" t="s">
        <v>497</v>
      </c>
      <c r="B9" s="63">
        <f>SUM(B10:B13)</f>
        <v>0</v>
      </c>
      <c r="C9" s="62" t="str">
        <f>IF(B9='1추일입'!X6,"OK","@@")</f>
        <v>@@</v>
      </c>
      <c r="D9" s="63">
        <f>SUM(D10:D13)</f>
        <v>0</v>
      </c>
      <c r="E9" s="62" t="str">
        <f>IF(D9='1추일출'!Z6,"OK","@@")</f>
        <v>OK</v>
      </c>
      <c r="F9" s="63">
        <f>SUM(F10:F13)</f>
        <v>0</v>
      </c>
      <c r="H9" s="62" t="s">
        <v>497</v>
      </c>
      <c r="I9" s="63">
        <f>SUM(I10:I13)</f>
        <v>0</v>
      </c>
      <c r="J9" s="62" t="str">
        <f>IF(I9='1추일입'!X6,"OK","@@")</f>
        <v>@@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498</v>
      </c>
      <c r="B10" s="55">
        <f>SUMIFS('1추일입'!$Y$6:$Y$40,'1추일입'!$W$6:$W$40,검증!A10)</f>
        <v>0</v>
      </c>
      <c r="C10" s="54"/>
      <c r="D10" s="55">
        <f>SUMIFS('1추일출'!$AA$6:$AA$112,'1추일출'!$Y$6:$Y$112,검증!A10)</f>
        <v>0</v>
      </c>
      <c r="E10" s="54"/>
      <c r="F10" s="55">
        <f>D10-B10</f>
        <v>0</v>
      </c>
      <c r="H10" s="54" t="s">
        <v>498</v>
      </c>
      <c r="I10" s="55">
        <f>SUMIFS('1추일입'!$AD$6:$AD$40,'1추일입'!$AB$6:$AB$40,검증!H10)</f>
        <v>0</v>
      </c>
      <c r="J10" s="54"/>
      <c r="K10" s="55">
        <f>SUMIFS('1추일출'!$AF$6:$AF$112,'1추일출'!$AD$6:$AD$112,검증!H10)</f>
        <v>0</v>
      </c>
      <c r="L10" s="54"/>
      <c r="M10" s="55">
        <f>K10-I10</f>
        <v>0</v>
      </c>
    </row>
    <row r="11" spans="1:13" ht="24.95" customHeight="1">
      <c r="A11" s="54" t="s">
        <v>504</v>
      </c>
      <c r="B11" s="55">
        <f>SUMIFS('1추일입'!$Y$6:$Y$40,'1추일입'!$W$6:$W$40,검증!A11)</f>
        <v>0</v>
      </c>
      <c r="C11" s="54"/>
      <c r="D11" s="55">
        <f>SUMIFS('1추일출'!$AA$6:$AA$112,'1추일출'!$Y$6:$Y$112,검증!A11)</f>
        <v>0</v>
      </c>
      <c r="E11" s="54"/>
      <c r="F11" s="55">
        <f t="shared" ref="F11:F13" si="0">D11-B11</f>
        <v>0</v>
      </c>
      <c r="H11" s="54" t="s">
        <v>504</v>
      </c>
      <c r="I11" s="55">
        <f>SUMIFS('1추일입'!$AD$6:$AD$40,'1추일입'!$AB$6:$AB$40,검증!H11)</f>
        <v>0</v>
      </c>
      <c r="J11" s="54"/>
      <c r="K11" s="55">
        <f>SUMIFS('1추일출'!$AF$6:$AF$112,'1추일출'!$AD$6:$AD$112,검증!H11)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499</v>
      </c>
      <c r="B12" s="55">
        <f>SUMIFS('1추일입'!$Y$6:$Y$40,'1추일입'!$W$6:$W$40,검증!A12)</f>
        <v>0</v>
      </c>
      <c r="C12" s="54"/>
      <c r="D12" s="55">
        <f>SUMIFS('1추일출'!$AA$6:$AA$112,'1추일출'!$Y$6:$Y$112,검증!A12)</f>
        <v>0</v>
      </c>
      <c r="E12" s="54"/>
      <c r="F12" s="55">
        <f t="shared" si="0"/>
        <v>0</v>
      </c>
      <c r="H12" s="54" t="s">
        <v>499</v>
      </c>
      <c r="I12" s="55">
        <f>SUMIFS('1추일입'!$AD$6:$AD$40,'1추일입'!$AB$6:$AB$40,검증!H12)</f>
        <v>0</v>
      </c>
      <c r="J12" s="54"/>
      <c r="K12" s="55">
        <f>SUMIFS('1추일출'!$AF$6:$AF$112,'1추일출'!$AD$6:$AD$112,검증!H12)</f>
        <v>0</v>
      </c>
      <c r="L12" s="54"/>
      <c r="M12" s="55">
        <f t="shared" si="1"/>
        <v>0</v>
      </c>
    </row>
    <row r="13" spans="1:13" ht="24.95" customHeight="1">
      <c r="A13" s="54" t="s">
        <v>500</v>
      </c>
      <c r="B13" s="55">
        <f>SUMIFS('1추일입'!$Y$6:$Y$40,'1추일입'!$W$6:$W$40,검증!A13)</f>
        <v>0</v>
      </c>
      <c r="C13" s="54"/>
      <c r="D13" s="55">
        <f>SUMIFS('1추일출'!$AA$6:$AA$112,'1추일출'!$Y$6:$Y$112,검증!A13)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SUMIFS('1추일입'!$AD$6:$AD$40,'1추일입'!$AB$6:$AB$40,검증!H13)</f>
        <v>0</v>
      </c>
      <c r="J13" s="54"/>
      <c r="K13" s="55">
        <f>SUMIFS('1추일출'!$AF$6:$AF$112,'1추일출'!$AD$6:$AD$112,검증!H13)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G13" sqref="G13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540" t="s">
        <v>450</v>
      </c>
      <c r="B5" s="542" t="s">
        <v>451</v>
      </c>
      <c r="C5" s="546" t="s">
        <v>452</v>
      </c>
      <c r="D5" s="547"/>
      <c r="E5" s="548"/>
      <c r="F5" s="546" t="s">
        <v>453</v>
      </c>
      <c r="G5" s="547"/>
      <c r="H5" s="548"/>
      <c r="I5" s="544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541"/>
      <c r="B6" s="543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545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SUMIFS('1추일입'!N$6:N$40,'1추일입'!$A$6:$A$40,총괄표!$A8)+SUMIFS('1추특입'!N$6:N$16,'1추특입'!$A$6:$A$16,총괄표!$A8)</f>
        <v>0</v>
      </c>
      <c r="D8" s="31">
        <f>SUMIFS('1추일입'!O$6:O$40,'1추일입'!$A$6:$A$40,총괄표!$A8)+SUMIFS('1추특입'!O$6:O$16,'1추특입'!$A$6:$A$16,총괄표!$A8)</f>
        <v>0</v>
      </c>
      <c r="E8" s="31">
        <f>D8+C8</f>
        <v>0</v>
      </c>
      <c r="F8" s="31">
        <f>SUMIFS('1추일출'!P$6:P$112,'1추일출'!$B$6:$B$112,총괄표!$A8)+SUMIFS('1추특출'!P$6:P$26,'1추특출'!$B$6:$B$26,총괄표!$A8)</f>
        <v>0</v>
      </c>
      <c r="G8" s="31">
        <f>SUMIFS('1추일출'!Q$6:Q$112,'1추일출'!$B$6:$B$112,총괄표!$A8)+SUMIFS('1추특출'!Q$6:Q$26,'1추특출'!$B$6:$B$26,총괄표!$A8)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538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SUMIFS('1추일입'!N$6:N$40,'1추일입'!$A$6:$A$40,총괄표!$A9)+SUMIFS('1추특입'!N$6:N$16,'1추특입'!$A$6:$A$16,총괄표!$A9)</f>
        <v>0</v>
      </c>
      <c r="D9" s="31">
        <f>SUMIFS('1추일입'!O$6:O$40,'1추일입'!$A$6:$A$40,총괄표!$A9)+SUMIFS('1추특입'!O$6:O$16,'1추특입'!$A$6:$A$16,총괄표!$A9)</f>
        <v>0</v>
      </c>
      <c r="E9" s="31">
        <f t="shared" ref="E9:E17" si="3">D9+C9</f>
        <v>0</v>
      </c>
      <c r="F9" s="31">
        <f>SUMIFS('1추일출'!P$6:P$112,'1추일출'!$B$6:$B$112,총괄표!$A9)+SUMIFS('1추특출'!P$6:P$26,'1추특출'!$B$6:$B$26,총괄표!$A9)</f>
        <v>0</v>
      </c>
      <c r="G9" s="31">
        <f>SUMIFS('1추일출'!Q$6:Q$112,'1추일출'!$B$6:$B$112,총괄표!$A9)+SUMIFS('1추특출'!Q$6:Q$26,'1추특출'!$B$6:$B$26,총괄표!$A9)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539"/>
    </row>
    <row r="10" spans="1:15" ht="28.5" customHeight="1">
      <c r="A10" s="35" t="s">
        <v>458</v>
      </c>
      <c r="B10" s="31">
        <f t="shared" si="2"/>
        <v>0</v>
      </c>
      <c r="C10" s="31">
        <f>SUMIFS('1추일입'!N$6:N$40,'1추일입'!$A$6:$A$40,총괄표!$A10)+SUMIFS('1추특입'!N$6:N$16,'1추특입'!$A$6:$A$16,총괄표!$A10)</f>
        <v>0</v>
      </c>
      <c r="D10" s="31">
        <f>SUMIFS('1추일입'!O$6:O$40,'1추일입'!$A$6:$A$40,총괄표!$A10)+SUMIFS('1추특입'!O$6:O$16,'1추특입'!$A$6:$A$16,총괄표!$A10)</f>
        <v>0</v>
      </c>
      <c r="E10" s="31">
        <f t="shared" si="3"/>
        <v>0</v>
      </c>
      <c r="F10" s="31">
        <f>SUMIFS('1추일출'!P$6:P$112,'1추일출'!$B$6:$B$112,총괄표!$A10)+SUMIFS('1추특출'!P$6:P$26,'1추특출'!$B$6:$B$26,총괄표!$A10)</f>
        <v>0</v>
      </c>
      <c r="G10" s="31">
        <f>SUMIFS('1추일출'!Q$6:Q$112,'1추일출'!$B$6:$B$112,총괄표!$A10)+SUMIFS('1추특출'!Q$6:Q$26,'1추특출'!$B$6:$B$26,총괄표!$A10)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SUMIFS('1추일입'!N$6:N$40,'1추일입'!$A$6:$A$40,총괄표!$A11)+SUMIFS('1추특입'!N$6:N$16,'1추특입'!$A$6:$A$16,총괄표!$A11)</f>
        <v>0</v>
      </c>
      <c r="D11" s="31">
        <f>SUMIFS('1추일입'!O$6:O$40,'1추일입'!$A$6:$A$40,총괄표!$A11)+SUMIFS('1추특입'!O$6:O$16,'1추특입'!$A$6:$A$16,총괄표!$A11)</f>
        <v>0</v>
      </c>
      <c r="E11" s="31">
        <f t="shared" si="3"/>
        <v>0</v>
      </c>
      <c r="F11" s="31">
        <f>SUMIFS('1추일출'!P$6:P$112,'1추일출'!$B$6:$B$112,총괄표!$A11)+SUMIFS('1추특출'!P$6:P$26,'1추특출'!$B$6:$B$26,총괄표!$A11)</f>
        <v>0</v>
      </c>
      <c r="G11" s="31">
        <f>SUMIFS('1추일출'!Q$6:Q$112,'1추일출'!$B$6:$B$112,총괄표!$A11)+SUMIFS('1추특출'!Q$6:Q$26,'1추특출'!$B$6:$B$26,총괄표!$A11)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SUMIFS('1추일입'!N$6:N$40,'1추일입'!$A$6:$A$40,총괄표!$A12)+SUMIFS('1추특입'!N$6:N$16,'1추특입'!$A$6:$A$16,총괄표!$A12)</f>
        <v>0</v>
      </c>
      <c r="D12" s="31">
        <f>SUMIFS('1추일입'!O$6:O$40,'1추일입'!$A$6:$A$40,총괄표!$A12)+SUMIFS('1추특입'!O$6:O$16,'1추특입'!$A$6:$A$16,총괄표!$A12)</f>
        <v>0</v>
      </c>
      <c r="E12" s="31">
        <f t="shared" si="3"/>
        <v>0</v>
      </c>
      <c r="F12" s="31">
        <f>SUMIFS('1추일출'!P$6:P$112,'1추일출'!$B$6:$B$112,총괄표!$A12)+SUMIFS('1추특출'!P$6:P$26,'1추특출'!$B$6:$B$26,총괄표!$A12)</f>
        <v>0</v>
      </c>
      <c r="G12" s="31">
        <f>SUMIFS('1추일출'!Q$6:Q$112,'1추일출'!$B$6:$B$112,총괄표!$A12)+SUMIFS('1추특출'!Q$6:Q$26,'1추특출'!$B$6:$B$26,총괄표!$A12)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0</v>
      </c>
      <c r="C13" s="31">
        <f>SUMIFS('1추일입'!N$6:N$40,'1추일입'!$A$6:$A$40,총괄표!$A13)+SUMIFS('1추특입'!N$6:N$16,'1추특입'!$A$6:$A$16,총괄표!$A13)</f>
        <v>0</v>
      </c>
      <c r="D13" s="31">
        <f>SUMIFS('1추일입'!O$6:O$40,'1추일입'!$A$6:$A$40,총괄표!$A13)+SUMIFS('1추특입'!O$6:O$16,'1추특입'!$A$6:$A$16,총괄표!$A13)</f>
        <v>0</v>
      </c>
      <c r="E13" s="31">
        <f t="shared" si="3"/>
        <v>0</v>
      </c>
      <c r="F13" s="31">
        <f>SUMIFS('1추일출'!P$6:P$112,'1추일출'!$B$6:$B$112,총괄표!$A13)+SUMIFS('1추특출'!P$6:P$26,'1추특출'!$B$6:$B$26,총괄표!$A13)</f>
        <v>0</v>
      </c>
      <c r="G13" s="31">
        <f>SUMIFS('1추일출'!Q$6:Q$112,'1추일출'!$B$6:$B$112,총괄표!$A13)+SUMIFS('1추특출'!Q$6:Q$26,'1추특출'!$B$6:$B$26,총괄표!$A13)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462</v>
      </c>
      <c r="B14" s="31">
        <f t="shared" si="2"/>
        <v>0</v>
      </c>
      <c r="C14" s="31">
        <f>SUMIFS('1추일입'!N$6:N$40,'1추일입'!$A$6:$A$40,총괄표!$A14)+SUMIFS('1추특입'!N$6:N$16,'1추특입'!$A$6:$A$16,총괄표!$A14)</f>
        <v>0</v>
      </c>
      <c r="D14" s="31">
        <f>SUMIFS('1추일입'!O$6:O$40,'1추일입'!$A$6:$A$40,총괄표!$A14)+SUMIFS('1추특입'!O$6:O$16,'1추특입'!$A$6:$A$16,총괄표!$A14)</f>
        <v>0</v>
      </c>
      <c r="E14" s="31">
        <f t="shared" si="3"/>
        <v>0</v>
      </c>
      <c r="F14" s="31">
        <f>SUMIFS('1추일출'!P$6:P$112,'1추일출'!$B$6:$B$112,총괄표!$A14)+SUMIFS('1추특출'!P$6:P$26,'1추특출'!$B$6:$B$26,총괄표!$A14)</f>
        <v>0</v>
      </c>
      <c r="G14" s="31">
        <f>SUMIFS('1추일출'!Q$6:Q$112,'1추일출'!$B$6:$B$112,총괄표!$A14)+SUMIFS('1추특출'!Q$6:Q$26,'1추특출'!$B$6:$B$26,총괄표!$A14)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SUMIFS('1추일입'!N$6:N$40,'1추일입'!$A$6:$A$40,총괄표!$A15)+SUMIFS('1추특입'!N$6:N$16,'1추특입'!$A$6:$A$16,총괄표!$A15)</f>
        <v>0</v>
      </c>
      <c r="D15" s="31">
        <f>SUMIFS('1추일입'!O$6:O$40,'1추일입'!$A$6:$A$40,총괄표!$A15)+SUMIFS('1추특입'!O$6:O$16,'1추특입'!$A$6:$A$16,총괄표!$A15)</f>
        <v>0</v>
      </c>
      <c r="E15" s="31">
        <f t="shared" si="3"/>
        <v>0</v>
      </c>
      <c r="F15" s="31">
        <f>SUMIFS('1추일출'!P$6:P$112,'1추일출'!$B$6:$B$112,총괄표!$A15)+SUMIFS('1추특출'!P$6:P$26,'1추특출'!$B$6:$B$26,총괄표!$A15)</f>
        <v>0</v>
      </c>
      <c r="G15" s="31">
        <f>SUMIFS('1추일출'!Q$6:Q$112,'1추일출'!$B$6:$B$112,총괄표!$A15)+SUMIFS('1추특출'!Q$6:Q$26,'1추특출'!$B$6:$B$26,총괄표!$A15)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SUMIFS('1추일입'!N$6:N$40,'1추일입'!$A$6:$A$40,총괄표!$A16)+SUMIFS('1추특입'!N$6:N$16,'1추특입'!$A$6:$A$16,총괄표!$A16)</f>
        <v>0</v>
      </c>
      <c r="D16" s="31">
        <f>SUMIFS('1추일입'!O$6:O$40,'1추일입'!$A$6:$A$40,총괄표!$A16)+SUMIFS('1추특입'!O$6:O$16,'1추특입'!$A$6:$A$16,총괄표!$A16)</f>
        <v>0</v>
      </c>
      <c r="E16" s="31">
        <f t="shared" si="3"/>
        <v>0</v>
      </c>
      <c r="F16" s="31">
        <f>SUMIFS('1추일출'!P$6:P$112,'1추일출'!$B$6:$B$112,총괄표!$A16)+SUMIFS('1추특출'!P$6:P$26,'1추특출'!$B$6:$B$26,총괄표!$A16)</f>
        <v>0</v>
      </c>
      <c r="G16" s="31">
        <f>SUMIFS('1추일출'!Q$6:Q$112,'1추일출'!$B$6:$B$112,총괄표!$A16)+SUMIFS('1추특출'!Q$6:Q$26,'1추특출'!$B$6:$B$26,총괄표!$A16)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SUMIFS('1추일입'!N$6:N$40,'1추일입'!$A$6:$A$40,총괄표!$A17)+SUMIFS('1추특입'!N$6:N$16,'1추특입'!$A$6:$A$16,총괄표!$A17)</f>
        <v>0</v>
      </c>
      <c r="D17" s="38">
        <f>SUMIFS('1추일입'!O$6:O$40,'1추일입'!$A$6:$A$40,총괄표!$A17)+SUMIFS('1추특입'!O$6:O$16,'1추특입'!$A$6:$A$16,총괄표!$A17)</f>
        <v>0</v>
      </c>
      <c r="E17" s="38">
        <f t="shared" si="3"/>
        <v>0</v>
      </c>
      <c r="F17" s="38">
        <f>SUMIFS('1추일출'!P$6:P$112,'1추일출'!$B$6:$B$112,총괄표!$A17)+SUMIFS('1추특출'!P$6:P$26,'1추특출'!$B$6:$B$26,총괄표!$A17)</f>
        <v>0</v>
      </c>
      <c r="G17" s="38">
        <f>SUMIFS('1추일출'!Q$6:Q$112,'1추일출'!$B$6:$B$112,총괄표!$A17)+SUMIFS('1추특출'!Q$6:Q$26,'1추특출'!$B$6:$B$26,총괄표!$A17)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540" t="s">
        <v>450</v>
      </c>
      <c r="B21" s="542" t="s">
        <v>451</v>
      </c>
      <c r="C21" s="546" t="s">
        <v>452</v>
      </c>
      <c r="D21" s="547"/>
      <c r="E21" s="548"/>
      <c r="F21" s="546" t="s">
        <v>453</v>
      </c>
      <c r="G21" s="547"/>
      <c r="H21" s="548"/>
      <c r="I21" s="544" t="s">
        <v>454</v>
      </c>
      <c r="J21" s="45"/>
      <c r="K21" s="47" t="s">
        <v>477</v>
      </c>
      <c r="L21" s="48"/>
      <c r="M21" s="42"/>
    </row>
    <row r="22" spans="1:13" ht="20.25" customHeight="1">
      <c r="A22" s="541"/>
      <c r="B22" s="543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545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0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0</v>
      </c>
      <c r="C36" s="33">
        <f t="shared" si="11"/>
        <v>0</v>
      </c>
      <c r="D36" s="249"/>
      <c r="E36" s="33"/>
      <c r="F36" s="33"/>
    </row>
    <row r="37" spans="1:6" ht="20.100000000000001" customHeight="1">
      <c r="A37" s="34" t="s">
        <v>462</v>
      </c>
      <c r="B37" s="33">
        <f>SUM(D37:G37)</f>
        <v>0</v>
      </c>
      <c r="C37" s="33">
        <f t="shared" si="11"/>
        <v>0</v>
      </c>
      <c r="D37" s="249"/>
      <c r="E37" s="33"/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58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59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P12" sqref="P12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@@</v>
      </c>
      <c r="Y3" s="180"/>
      <c r="Z3" s="179" t="str">
        <f>IF(COUNTIF(Z6:Z40,"검토")&gt;0,"@@","OK")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IF(COUNTIF(AE6:AE40,"검토")&gt;0,"@@","OK")</f>
        <v>OK</v>
      </c>
    </row>
    <row r="4" spans="1:45" s="205" customFormat="1" ht="30" customHeight="1">
      <c r="A4" s="551" t="s">
        <v>406</v>
      </c>
      <c r="B4" s="555" t="s">
        <v>407</v>
      </c>
      <c r="C4" s="560" t="s">
        <v>579</v>
      </c>
      <c r="D4" s="559" t="s">
        <v>414</v>
      </c>
      <c r="E4" s="557" t="s">
        <v>409</v>
      </c>
      <c r="F4" s="559" t="s">
        <v>565</v>
      </c>
      <c r="G4" s="555" t="s">
        <v>568</v>
      </c>
      <c r="H4" s="569" t="s">
        <v>636</v>
      </c>
      <c r="I4" s="569" t="s">
        <v>596</v>
      </c>
      <c r="J4" s="553" t="s">
        <v>637</v>
      </c>
      <c r="K4" s="562" t="s">
        <v>597</v>
      </c>
      <c r="L4" s="563"/>
      <c r="M4" s="564" t="s">
        <v>602</v>
      </c>
      <c r="N4" s="566" t="s">
        <v>598</v>
      </c>
      <c r="O4" s="567"/>
      <c r="P4" s="549" t="s">
        <v>603</v>
      </c>
      <c r="Q4" s="573" t="s">
        <v>413</v>
      </c>
      <c r="R4" s="580" t="s">
        <v>599</v>
      </c>
      <c r="S4" s="580" t="s">
        <v>600</v>
      </c>
      <c r="T4" s="573" t="s">
        <v>604</v>
      </c>
      <c r="U4" s="575" t="s">
        <v>416</v>
      </c>
      <c r="V4" s="207"/>
      <c r="W4" s="576" t="s">
        <v>417</v>
      </c>
      <c r="X4" s="576" t="s">
        <v>418</v>
      </c>
      <c r="Y4" s="576"/>
      <c r="Z4" s="576"/>
      <c r="AB4" s="577" t="s">
        <v>417</v>
      </c>
      <c r="AC4" s="572" t="s">
        <v>422</v>
      </c>
      <c r="AD4" s="572"/>
      <c r="AE4" s="572"/>
      <c r="AG4" s="577" t="s">
        <v>423</v>
      </c>
      <c r="AI4" s="578" t="s">
        <v>424</v>
      </c>
      <c r="AK4" s="578" t="s">
        <v>425</v>
      </c>
      <c r="AM4" s="579" t="s">
        <v>426</v>
      </c>
      <c r="AN4" s="579"/>
      <c r="AO4" s="579"/>
      <c r="AQ4" s="572" t="s">
        <v>429</v>
      </c>
      <c r="AR4" s="572"/>
      <c r="AS4" s="572"/>
    </row>
    <row r="5" spans="1:45" s="205" customFormat="1" ht="18" customHeight="1">
      <c r="A5" s="552"/>
      <c r="B5" s="556"/>
      <c r="C5" s="561"/>
      <c r="D5" s="556"/>
      <c r="E5" s="558"/>
      <c r="F5" s="568"/>
      <c r="G5" s="556"/>
      <c r="H5" s="570"/>
      <c r="I5" s="571"/>
      <c r="J5" s="554"/>
      <c r="K5" s="479" t="s">
        <v>410</v>
      </c>
      <c r="L5" s="479" t="s">
        <v>411</v>
      </c>
      <c r="M5" s="565"/>
      <c r="N5" s="326" t="s">
        <v>410</v>
      </c>
      <c r="O5" s="323" t="s">
        <v>411</v>
      </c>
      <c r="P5" s="550"/>
      <c r="Q5" s="574"/>
      <c r="R5" s="581"/>
      <c r="S5" s="581"/>
      <c r="T5" s="574"/>
      <c r="U5" s="576"/>
      <c r="V5" s="207"/>
      <c r="W5" s="576"/>
      <c r="X5" s="245" t="s">
        <v>419</v>
      </c>
      <c r="Y5" s="245" t="s">
        <v>420</v>
      </c>
      <c r="Z5" s="245" t="s">
        <v>421</v>
      </c>
      <c r="AB5" s="577"/>
      <c r="AC5" s="213" t="s">
        <v>419</v>
      </c>
      <c r="AD5" s="213" t="s">
        <v>420</v>
      </c>
      <c r="AE5" s="213" t="s">
        <v>421</v>
      </c>
      <c r="AG5" s="577"/>
      <c r="AI5" s="577"/>
      <c r="AK5" s="577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6" t="s">
        <v>430</v>
      </c>
      <c r="B6" s="307"/>
      <c r="C6" s="307"/>
      <c r="D6" s="307"/>
      <c r="E6" s="308"/>
      <c r="F6" s="307"/>
      <c r="G6" s="309"/>
      <c r="H6" s="310">
        <f t="shared" ref="H6:P6" si="0">SUBTOTAL(9,H7:H40)</f>
        <v>0</v>
      </c>
      <c r="I6" s="310">
        <f t="shared" si="0"/>
        <v>0</v>
      </c>
      <c r="J6" s="310">
        <f t="shared" si="0"/>
        <v>0</v>
      </c>
      <c r="K6" s="310">
        <f t="shared" si="0"/>
        <v>0</v>
      </c>
      <c r="L6" s="310">
        <f t="shared" si="0"/>
        <v>26782</v>
      </c>
      <c r="M6" s="311">
        <f t="shared" si="0"/>
        <v>26782</v>
      </c>
      <c r="N6" s="359">
        <f t="shared" si="0"/>
        <v>0</v>
      </c>
      <c r="O6" s="310">
        <f t="shared" si="0"/>
        <v>0</v>
      </c>
      <c r="P6" s="360">
        <f t="shared" si="0"/>
        <v>0</v>
      </c>
      <c r="Q6" s="293"/>
      <c r="R6" s="290"/>
      <c r="S6" s="290"/>
      <c r="T6" s="307"/>
      <c r="U6" s="183"/>
      <c r="W6" s="183"/>
      <c r="X6" s="184">
        <f>SUBTOTAL(9,X7:X40)</f>
        <v>26782</v>
      </c>
      <c r="Y6" s="184">
        <f>SUBTOTAL(9,Y7:Y40)</f>
        <v>0</v>
      </c>
      <c r="Z6" s="185" t="str">
        <f t="shared" ref="Z6" si="1">IF(SUM($K6:$L6)=SUM($X6:$Y6),"OK","검토")</f>
        <v>OK</v>
      </c>
      <c r="AB6" s="183"/>
      <c r="AC6" s="184">
        <f>SUBTOTAL(9,AC7:AC40)</f>
        <v>0</v>
      </c>
      <c r="AD6" s="184">
        <f>SUBTOTAL(9,AD7:AD40)</f>
        <v>0</v>
      </c>
      <c r="AE6" s="185" t="str">
        <f>IF(SUM($K6:$L6)=SUM($X6:$Y6),"OK","검토")</f>
        <v>OK</v>
      </c>
      <c r="AG6" s="183"/>
      <c r="AI6" s="183"/>
      <c r="AK6" s="183"/>
      <c r="AM6" s="184" t="e">
        <f>SUBTOTAL(9,AM7:AM40)</f>
        <v>#N/A</v>
      </c>
      <c r="AN6" s="184" t="e">
        <f>SUBTOTAL(9,AN7:AN40)</f>
        <v>#N/A</v>
      </c>
      <c r="AO6" s="182" t="str">
        <f>IF(COUNTIF(AO7:AO40,"@@")&gt;0,"@@","OK")</f>
        <v>OK</v>
      </c>
      <c r="AQ6" s="184" t="e">
        <f>SUBTOTAL(9,AQ7:AQ40)</f>
        <v>#N/A</v>
      </c>
      <c r="AR6" s="184" t="e">
        <f>SUBTOTAL(9,AR7:AR40)</f>
        <v>#N/A</v>
      </c>
      <c r="AS6" s="182" t="str">
        <f>IF(COUNTIF(AS7:AS40,"@@")&gt;0,"@@","OK")</f>
        <v>OK</v>
      </c>
    </row>
    <row r="7" spans="1:45" ht="60" customHeight="1">
      <c r="A7" s="318" t="s">
        <v>1006</v>
      </c>
      <c r="B7" s="366" t="s">
        <v>998</v>
      </c>
      <c r="C7" s="312" t="s">
        <v>999</v>
      </c>
      <c r="D7" s="313" t="s">
        <v>1000</v>
      </c>
      <c r="E7" s="314"/>
      <c r="F7" s="313"/>
      <c r="G7" s="315" t="s">
        <v>1005</v>
      </c>
      <c r="H7" s="316"/>
      <c r="I7" s="316"/>
      <c r="J7" s="460">
        <f>IF(D7="","",H7-I7)</f>
        <v>0</v>
      </c>
      <c r="K7" s="316"/>
      <c r="L7" s="296">
        <v>26782</v>
      </c>
      <c r="M7" s="461">
        <f>H7+K7+L7</f>
        <v>26782</v>
      </c>
      <c r="N7" s="367"/>
      <c r="O7" s="296"/>
      <c r="P7" s="462">
        <f>H7+N7+O7</f>
        <v>0</v>
      </c>
      <c r="Q7" s="331" t="str">
        <f>IF(AND((M7=0),(P7&gt;0)),"O",IF(AND((K7&lt;0),(M7-P7&lt;0)),"O","X"))</f>
        <v>X</v>
      </c>
      <c r="R7" s="368"/>
      <c r="S7" s="330"/>
      <c r="T7" s="322"/>
      <c r="U7" s="188"/>
      <c r="W7" s="188"/>
      <c r="X7" s="186">
        <f t="shared" ref="X7:X40" si="2">IF($W7&lt;&gt;"도비",IF($U7="국도비","직접입력",SUM($K7:$L7)),)</f>
        <v>26782</v>
      </c>
      <c r="Y7" s="186">
        <f t="shared" ref="Y7:Y40" si="3">IF($W7="도비",SUM($K7:$L7),IF($U7="국도비","직접입력",SUM($K7:$L7)-$X7))</f>
        <v>0</v>
      </c>
      <c r="Z7" s="188" t="str">
        <f t="shared" ref="Z7:Z40" si="4">IF(SUM($K7:$L7)=SUM($X7:$Y7),"OK","검토")</f>
        <v>OK</v>
      </c>
      <c r="AB7" s="188"/>
      <c r="AC7" s="186">
        <f t="shared" ref="AC7:AC40" si="5">IF($W7&lt;&gt;"도비",IF($U7="국도비","직접입력",SUM($N7:$O7)),)</f>
        <v>0</v>
      </c>
      <c r="AD7" s="186">
        <f t="shared" ref="AD7" si="6">IF($W7="도비",SUM(N7:O7),IF($U7="국도비","직접입력",SUM(N7:O7)-AC7))</f>
        <v>0</v>
      </c>
      <c r="AE7" s="188" t="str">
        <f t="shared" ref="AE7:AE20" si="7">IF(SUM(N7:O7)=SUM(AC7:AD7),"OK","검토")</f>
        <v>OK</v>
      </c>
      <c r="AG7" s="188" t="e">
        <f>IF(AI7="","",IF(W7="도비","세입없음",CONCATENATE(AI7,"-",COUNTIF($AI$7:AI7,AI7))))</f>
        <v>#N/A</v>
      </c>
      <c r="AI7" s="188" t="e">
        <f t="array" ref="AI7">IF(C7="","",INDEX(구분표!$I$2:$I$319, MATCH(1,(구분표!$E$2:$E$319='1추일입'!B7)*(구분표!$F$2:$F$319='1추일입'!C7)*(구분표!$G$2:$G$319='1추일입'!A7),0)))</f>
        <v>#N/A</v>
      </c>
      <c r="AK7" s="188"/>
      <c r="AM7" s="186" t="e">
        <f>IF(AG7="",0,SUMIFS('1추일출'!$Z$6:$Z$112,'1추일출'!$AI$6:$AI$112,'1추일입'!$AG7))</f>
        <v>#N/A</v>
      </c>
      <c r="AN7" s="186" t="e">
        <f>IF(AG7="","",COUNTIFS('1추일출'!$AI$6:$AI$112,'1추일입'!AG7))</f>
        <v>#N/A</v>
      </c>
      <c r="AO7" s="188" t="e">
        <f t="shared" ref="AO7:AO40" si="8">IF(X7=AM7,"OK","@@")</f>
        <v>#N/A</v>
      </c>
      <c r="AQ7" s="186" t="e">
        <f>IF(AG7="",0,SUMIFS('1추일출'!$AE$6:$AE$112,'1추일출'!$AI$6:$AI$112,'1추일입'!$AG7))</f>
        <v>#N/A</v>
      </c>
      <c r="AR7" s="186" t="e">
        <f>IF(AG7="","",COUNTIFS('1추일출'!$AI$6:$AI$112,AG7))</f>
        <v>#N/A</v>
      </c>
      <c r="AS7" s="188" t="e">
        <f t="shared" ref="AS7:AS40" si="9">IF(AC7=AQ7,"OK","@@")</f>
        <v>#N/A</v>
      </c>
    </row>
    <row r="8" spans="1:45" ht="60" customHeight="1">
      <c r="A8" s="318"/>
      <c r="B8" s="366"/>
      <c r="C8" s="317"/>
      <c r="D8" s="313"/>
      <c r="E8" s="314"/>
      <c r="F8" s="313"/>
      <c r="G8" s="315"/>
      <c r="H8" s="316"/>
      <c r="I8" s="316"/>
      <c r="J8" s="460" t="str">
        <f t="shared" ref="J8:J40" si="10">IF(D8="","",H8-I8)</f>
        <v/>
      </c>
      <c r="K8" s="316"/>
      <c r="L8" s="296"/>
      <c r="M8" s="461">
        <f t="shared" ref="M8:M40" si="11">H8+K8+L8</f>
        <v>0</v>
      </c>
      <c r="N8" s="367"/>
      <c r="O8" s="296"/>
      <c r="P8" s="462">
        <f t="shared" ref="P8:P40" si="12">H8+N8+O8</f>
        <v>0</v>
      </c>
      <c r="Q8" s="331" t="str">
        <f t="shared" ref="Q8:Q40" si="13">IF(AND((M8=0),(P8&gt;0)),"O",IF(AND((K8&lt;0),(M8-P8&lt;0)),"O","X"))</f>
        <v>X</v>
      </c>
      <c r="R8" s="322"/>
      <c r="S8" s="330"/>
      <c r="T8" s="322"/>
      <c r="U8" s="188"/>
      <c r="W8" s="188"/>
      <c r="X8" s="186">
        <f t="shared" si="2"/>
        <v>0</v>
      </c>
      <c r="Y8" s="186">
        <f t="shared" si="3"/>
        <v>0</v>
      </c>
      <c r="Z8" s="188" t="str">
        <f t="shared" si="4"/>
        <v>OK</v>
      </c>
      <c r="AB8" s="188"/>
      <c r="AC8" s="186">
        <f t="shared" si="5"/>
        <v>0</v>
      </c>
      <c r="AD8" s="186">
        <f t="shared" ref="AD8:AD40" si="14">IF($W8="도비",SUM(N8:O8),IF($U8="국도비","직접입력",SUM(N8:O8)-AC8))</f>
        <v>0</v>
      </c>
      <c r="AE8" s="188" t="str">
        <f t="shared" si="7"/>
        <v>OK</v>
      </c>
      <c r="AG8" s="188" t="str">
        <f>IF(AI8="","",IF(W8="도비","세입없음",CONCATENATE(AI8,"-",COUNTIF($AI$7:AI8,AI8))))</f>
        <v/>
      </c>
      <c r="AI8" s="188" t="str">
        <f t="array" ref="AI8">IF(C8="","",INDEX(구분표!$I$2:$I$319, MATCH(1,(구분표!$E$2:$E$319='1추일입'!B8)*(구분표!$F$2:$F$319='1추일입'!C8)*(구분표!$G$2:$G$319='1추일입'!A8),0)))</f>
        <v/>
      </c>
      <c r="AK8" s="188"/>
      <c r="AM8" s="186">
        <f>IF(AG8="",0,SUMIFS('1추일출'!$Z$6:$Z$112,'1추일출'!$AI$6:$AI$112,'1추일입'!$AG8))</f>
        <v>0</v>
      </c>
      <c r="AN8" s="186" t="str">
        <f>IF(AG8="","",COUNTIFS('1추일출'!$AI$6:$AI$112,'1추일입'!AG8))</f>
        <v/>
      </c>
      <c r="AO8" s="188" t="str">
        <f t="shared" si="8"/>
        <v>OK</v>
      </c>
      <c r="AQ8" s="186">
        <f>IF(AG8="",0,SUMIFS('1추일출'!$AE$6:$AE$112,'1추일출'!$AI$6:$AI$112,'1추일입'!$AG8))</f>
        <v>0</v>
      </c>
      <c r="AR8" s="186" t="str">
        <f>IF(AG8="","",COUNTIFS('1추일출'!$AI$6:$AI$112,AG8))</f>
        <v/>
      </c>
      <c r="AS8" s="188" t="str">
        <f t="shared" si="9"/>
        <v>OK</v>
      </c>
    </row>
    <row r="9" spans="1:45" ht="60" customHeight="1">
      <c r="A9" s="318"/>
      <c r="B9" s="366"/>
      <c r="C9" s="312"/>
      <c r="D9" s="313"/>
      <c r="E9" s="313"/>
      <c r="F9" s="314"/>
      <c r="G9" s="315"/>
      <c r="H9" s="316"/>
      <c r="I9" s="316"/>
      <c r="J9" s="460" t="str">
        <f>IF(D9="","",H9-I9)</f>
        <v/>
      </c>
      <c r="K9" s="316"/>
      <c r="L9" s="296"/>
      <c r="M9" s="461">
        <f t="shared" si="11"/>
        <v>0</v>
      </c>
      <c r="N9" s="367"/>
      <c r="O9" s="296"/>
      <c r="P9" s="462">
        <f t="shared" si="12"/>
        <v>0</v>
      </c>
      <c r="Q9" s="331" t="str">
        <f t="shared" si="13"/>
        <v>X</v>
      </c>
      <c r="R9" s="330"/>
      <c r="S9" s="322"/>
      <c r="T9" s="322"/>
      <c r="U9" s="188"/>
      <c r="W9" s="188"/>
      <c r="X9" s="186">
        <f t="shared" si="2"/>
        <v>0</v>
      </c>
      <c r="Y9" s="186">
        <f t="shared" si="3"/>
        <v>0</v>
      </c>
      <c r="Z9" s="188" t="str">
        <f t="shared" si="4"/>
        <v>OK</v>
      </c>
      <c r="AB9" s="188"/>
      <c r="AC9" s="186">
        <f t="shared" si="5"/>
        <v>0</v>
      </c>
      <c r="AD9" s="186">
        <f t="shared" si="14"/>
        <v>0</v>
      </c>
      <c r="AE9" s="188" t="str">
        <f t="shared" si="7"/>
        <v>OK</v>
      </c>
      <c r="AG9" s="188" t="str">
        <f>IF(AI9="","",IF(W9="도비","세입없음",CONCATENATE(AI9,"-",COUNTIF($AI$7:AI9,AI9))))</f>
        <v/>
      </c>
      <c r="AI9" s="188" t="str">
        <f t="array" ref="AI9">IF(C9="","",INDEX(구분표!$I$2:$I$319, MATCH(1,(구분표!$E$2:$E$319='1추일입'!B9)*(구분표!$F$2:$F$319='1추일입'!C9)*(구분표!$G$2:$G$319='1추일입'!A9),0)))</f>
        <v/>
      </c>
      <c r="AK9" s="188"/>
      <c r="AM9" s="186">
        <f>IF(AG9="",0,SUMIFS('1추일출'!$Z$6:$Z$112,'1추일출'!$AI$6:$AI$112,'1추일입'!$AG9))</f>
        <v>0</v>
      </c>
      <c r="AN9" s="186" t="str">
        <f>IF(AG9="","",COUNTIFS('1추일출'!$AI$6:$AI$112,'1추일입'!AG9))</f>
        <v/>
      </c>
      <c r="AO9" s="188" t="str">
        <f t="shared" si="8"/>
        <v>OK</v>
      </c>
      <c r="AQ9" s="186">
        <f>IF(AG9="",0,SUMIFS('1추일출'!$AE$6:$AE$112,'1추일출'!$AI$6:$AI$112,'1추일입'!$AG9))</f>
        <v>0</v>
      </c>
      <c r="AR9" s="186" t="str">
        <f>IF(AG9="","",COUNTIFS('1추일출'!$AI$6:$AI$112,AG9))</f>
        <v/>
      </c>
      <c r="AS9" s="188" t="str">
        <f t="shared" si="9"/>
        <v>OK</v>
      </c>
    </row>
    <row r="10" spans="1:45" ht="60" customHeight="1">
      <c r="A10" s="318"/>
      <c r="B10" s="366"/>
      <c r="C10" s="312"/>
      <c r="D10" s="313"/>
      <c r="E10" s="314"/>
      <c r="F10" s="313"/>
      <c r="G10" s="315"/>
      <c r="H10" s="316"/>
      <c r="I10" s="316"/>
      <c r="J10" s="460" t="str">
        <f t="shared" si="10"/>
        <v/>
      </c>
      <c r="K10" s="316"/>
      <c r="L10" s="296"/>
      <c r="M10" s="461">
        <f t="shared" si="11"/>
        <v>0</v>
      </c>
      <c r="N10" s="367"/>
      <c r="O10" s="296"/>
      <c r="P10" s="462">
        <f t="shared" si="12"/>
        <v>0</v>
      </c>
      <c r="Q10" s="331" t="str">
        <f t="shared" si="13"/>
        <v>X</v>
      </c>
      <c r="R10" s="369"/>
      <c r="S10" s="322"/>
      <c r="T10" s="322"/>
      <c r="U10" s="188"/>
      <c r="W10" s="196"/>
      <c r="X10" s="186">
        <f t="shared" si="2"/>
        <v>0</v>
      </c>
      <c r="Y10" s="186">
        <f t="shared" si="3"/>
        <v>0</v>
      </c>
      <c r="Z10" s="188" t="str">
        <f t="shared" si="4"/>
        <v>OK</v>
      </c>
      <c r="AB10" s="188"/>
      <c r="AC10" s="186">
        <f t="shared" si="5"/>
        <v>0</v>
      </c>
      <c r="AD10" s="186">
        <f t="shared" si="14"/>
        <v>0</v>
      </c>
      <c r="AE10" s="188" t="str">
        <f t="shared" si="7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IF(C10="","",INDEX(구분표!$I$2:$I$319, MATCH(1,(구분표!$E$2:$E$319='1추일입'!B10)*(구분표!$F$2:$F$319='1추일입'!C10)*(구분표!$G$2:$G$319='1추일입'!A10),0)))</f>
        <v/>
      </c>
      <c r="AK10" s="188"/>
      <c r="AM10" s="186">
        <f>IF(AG10="",0,SUMIFS('1추일출'!$Z$6:$Z$112,'1추일출'!$AI$6:$AI$112,'1추일입'!$AG10))</f>
        <v>0</v>
      </c>
      <c r="AN10" s="186" t="str">
        <f>IF(AG10="","",COUNTIFS('1추일출'!$AI$6:$AI$112,'1추일입'!AG10))</f>
        <v/>
      </c>
      <c r="AO10" s="188" t="str">
        <f t="shared" si="8"/>
        <v>OK</v>
      </c>
      <c r="AQ10" s="186">
        <f>IF(AG10="",0,SUMIFS('1추일출'!$AE$6:$AE$112,'1추일출'!$AI$6:$AI$112,'1추일입'!$AG10))</f>
        <v>0</v>
      </c>
      <c r="AR10" s="186" t="str">
        <f>IF(AG10="","",COUNTIFS('1추일출'!$AI$6:$AI$112,AG10))</f>
        <v/>
      </c>
      <c r="AS10" s="188" t="str">
        <f t="shared" si="9"/>
        <v>OK</v>
      </c>
    </row>
    <row r="11" spans="1:45" ht="60" customHeight="1">
      <c r="A11" s="318"/>
      <c r="B11" s="366"/>
      <c r="C11" s="312"/>
      <c r="D11" s="313"/>
      <c r="E11" s="314"/>
      <c r="F11" s="313"/>
      <c r="G11" s="315"/>
      <c r="H11" s="316"/>
      <c r="I11" s="316"/>
      <c r="J11" s="460" t="str">
        <f t="shared" si="10"/>
        <v/>
      </c>
      <c r="K11" s="316"/>
      <c r="L11" s="296"/>
      <c r="M11" s="461">
        <f t="shared" si="11"/>
        <v>0</v>
      </c>
      <c r="N11" s="367"/>
      <c r="O11" s="296"/>
      <c r="P11" s="462">
        <f t="shared" si="12"/>
        <v>0</v>
      </c>
      <c r="Q11" s="331" t="str">
        <f t="shared" si="13"/>
        <v>X</v>
      </c>
      <c r="R11" s="369"/>
      <c r="S11" s="330"/>
      <c r="T11" s="322"/>
      <c r="U11" s="188"/>
      <c r="W11" s="258"/>
      <c r="X11" s="186">
        <f t="shared" si="2"/>
        <v>0</v>
      </c>
      <c r="Y11" s="186">
        <f t="shared" si="3"/>
        <v>0</v>
      </c>
      <c r="Z11" s="188" t="str">
        <f t="shared" si="4"/>
        <v>OK</v>
      </c>
      <c r="AB11" s="188"/>
      <c r="AC11" s="186">
        <f t="shared" si="5"/>
        <v>0</v>
      </c>
      <c r="AD11" s="186">
        <f t="shared" si="14"/>
        <v>0</v>
      </c>
      <c r="AE11" s="188" t="str">
        <f t="shared" si="7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IF(C11="","",INDEX(구분표!$I$2:$I$319, MATCH(1,(구분표!$E$2:$E$319='1추일입'!B11)*(구분표!$F$2:$F$319='1추일입'!C11)*(구분표!$G$2:$G$319='1추일입'!A11),0)))</f>
        <v/>
      </c>
      <c r="AK11" s="188"/>
      <c r="AM11" s="186">
        <f>IF(AG11="",0,SUMIFS('1추일출'!$Z$6:$Z$112,'1추일출'!$AI$6:$AI$112,'1추일입'!$AG11))</f>
        <v>0</v>
      </c>
      <c r="AN11" s="186" t="str">
        <f>IF(AG11="","",COUNTIFS('1추일출'!$AI$6:$AI$112,'1추일입'!AG11))</f>
        <v/>
      </c>
      <c r="AO11" s="188" t="str">
        <f t="shared" si="8"/>
        <v>OK</v>
      </c>
      <c r="AQ11" s="186">
        <f>IF(AG11="",0,SUMIFS('1추일출'!$AE$6:$AE$112,'1추일출'!$AI$6:$AI$112,'1추일입'!$AG11))</f>
        <v>0</v>
      </c>
      <c r="AR11" s="186" t="str">
        <f>IF(AG11="","",COUNTIFS('1추일출'!$AI$6:$AI$112,AG11))</f>
        <v/>
      </c>
      <c r="AS11" s="188" t="str">
        <f t="shared" si="9"/>
        <v>OK</v>
      </c>
    </row>
    <row r="12" spans="1:45" ht="60" customHeight="1">
      <c r="A12" s="318"/>
      <c r="B12" s="366"/>
      <c r="C12" s="312"/>
      <c r="D12" s="313"/>
      <c r="E12" s="313"/>
      <c r="F12" s="314"/>
      <c r="G12" s="315"/>
      <c r="H12" s="316"/>
      <c r="I12" s="316"/>
      <c r="J12" s="460" t="str">
        <f t="shared" si="10"/>
        <v/>
      </c>
      <c r="K12" s="316"/>
      <c r="L12" s="296"/>
      <c r="M12" s="461">
        <f t="shared" si="11"/>
        <v>0</v>
      </c>
      <c r="N12" s="367"/>
      <c r="O12" s="296"/>
      <c r="P12" s="462">
        <f t="shared" si="12"/>
        <v>0</v>
      </c>
      <c r="Q12" s="331" t="str">
        <f t="shared" si="13"/>
        <v>X</v>
      </c>
      <c r="R12" s="322"/>
      <c r="S12" s="330"/>
      <c r="T12" s="322"/>
      <c r="U12" s="188"/>
      <c r="W12" s="258"/>
      <c r="X12" s="186">
        <f t="shared" si="2"/>
        <v>0</v>
      </c>
      <c r="Y12" s="186">
        <f t="shared" si="3"/>
        <v>0</v>
      </c>
      <c r="Z12" s="188" t="str">
        <f t="shared" si="4"/>
        <v>OK</v>
      </c>
      <c r="AB12" s="188"/>
      <c r="AC12" s="186">
        <f t="shared" si="5"/>
        <v>0</v>
      </c>
      <c r="AD12" s="186">
        <f t="shared" si="14"/>
        <v>0</v>
      </c>
      <c r="AE12" s="188" t="str">
        <f t="shared" si="7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IF(C12="","",INDEX(구분표!$I$2:$I$319, MATCH(1,(구분표!$E$2:$E$319='1추일입'!B12)*(구분표!$F$2:$F$319='1추일입'!C12)*(구분표!$G$2:$G$319='1추일입'!A12),0)))</f>
        <v/>
      </c>
      <c r="AK12" s="188"/>
      <c r="AM12" s="186">
        <f>IF(AG12="",0,SUMIFS('1추일출'!$Z$6:$Z$112,'1추일출'!$AI$6:$AI$112,'1추일입'!$AG12))</f>
        <v>0</v>
      </c>
      <c r="AN12" s="186" t="str">
        <f>IF(AG12="","",COUNTIFS('1추일출'!$AI$6:$AI$112,'1추일입'!AG12))</f>
        <v/>
      </c>
      <c r="AO12" s="188" t="str">
        <f t="shared" si="8"/>
        <v>OK</v>
      </c>
      <c r="AQ12" s="186">
        <f>IF(AG12="",0,SUMIFS('1추일출'!$AE$6:$AE$112,'1추일출'!$AI$6:$AI$112,'1추일입'!$AG12))</f>
        <v>0</v>
      </c>
      <c r="AR12" s="186" t="str">
        <f>IF(AG12="","",COUNTIFS('1추일출'!$AI$6:$AI$112,AG12))</f>
        <v/>
      </c>
      <c r="AS12" s="188" t="str">
        <f t="shared" si="9"/>
        <v>OK</v>
      </c>
    </row>
    <row r="13" spans="1:45" ht="60" customHeight="1">
      <c r="A13" s="318"/>
      <c r="B13" s="366"/>
      <c r="C13" s="312"/>
      <c r="D13" s="313"/>
      <c r="E13" s="314"/>
      <c r="F13" s="302"/>
      <c r="G13" s="315"/>
      <c r="H13" s="316"/>
      <c r="I13" s="316"/>
      <c r="J13" s="460" t="str">
        <f t="shared" si="10"/>
        <v/>
      </c>
      <c r="K13" s="316"/>
      <c r="L13" s="296"/>
      <c r="M13" s="461">
        <f t="shared" si="11"/>
        <v>0</v>
      </c>
      <c r="N13" s="367"/>
      <c r="O13" s="296"/>
      <c r="P13" s="462">
        <f t="shared" si="12"/>
        <v>0</v>
      </c>
      <c r="Q13" s="331" t="str">
        <f t="shared" si="13"/>
        <v>X</v>
      </c>
      <c r="R13" s="322"/>
      <c r="S13" s="330"/>
      <c r="T13" s="322"/>
      <c r="U13" s="188"/>
      <c r="W13" s="258"/>
      <c r="X13" s="186">
        <f t="shared" si="2"/>
        <v>0</v>
      </c>
      <c r="Y13" s="186">
        <f t="shared" si="3"/>
        <v>0</v>
      </c>
      <c r="Z13" s="188" t="str">
        <f t="shared" si="4"/>
        <v>OK</v>
      </c>
      <c r="AB13" s="188"/>
      <c r="AC13" s="186">
        <f t="shared" si="5"/>
        <v>0</v>
      </c>
      <c r="AD13" s="186">
        <f t="shared" si="14"/>
        <v>0</v>
      </c>
      <c r="AE13" s="188" t="str">
        <f t="shared" si="7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IF(C13="","",INDEX(구분표!$I$2:$I$319, MATCH(1,(구분표!$E$2:$E$319='1추일입'!B13)*(구분표!$F$2:$F$319='1추일입'!C13)*(구분표!$G$2:$G$319='1추일입'!A13),0)))</f>
        <v/>
      </c>
      <c r="AK13" s="188"/>
      <c r="AM13" s="186">
        <f>IF(AG13="",0,SUMIFS('1추일출'!$Z$6:$Z$112,'1추일출'!$AI$6:$AI$112,'1추일입'!$AG13))</f>
        <v>0</v>
      </c>
      <c r="AN13" s="186" t="str">
        <f>IF(AG13="","",COUNTIFS('1추일출'!$AI$6:$AI$112,'1추일입'!AG13))</f>
        <v/>
      </c>
      <c r="AO13" s="188" t="str">
        <f t="shared" si="8"/>
        <v>OK</v>
      </c>
      <c r="AQ13" s="186">
        <f>IF(AG13="",0,SUMIFS('1추일출'!$AE$6:$AE$112,'1추일출'!$AI$6:$AI$112,'1추일입'!$AG13))</f>
        <v>0</v>
      </c>
      <c r="AR13" s="186" t="str">
        <f>IF(AG13="","",COUNTIFS('1추일출'!$AI$6:$AI$112,AG13))</f>
        <v/>
      </c>
      <c r="AS13" s="188" t="str">
        <f t="shared" si="9"/>
        <v>OK</v>
      </c>
    </row>
    <row r="14" spans="1:45" ht="60" customHeight="1">
      <c r="A14" s="318"/>
      <c r="B14" s="366"/>
      <c r="C14" s="312"/>
      <c r="D14" s="313"/>
      <c r="E14" s="314"/>
      <c r="F14" s="313"/>
      <c r="G14" s="315"/>
      <c r="H14" s="316"/>
      <c r="I14" s="316"/>
      <c r="J14" s="460" t="str">
        <f t="shared" si="10"/>
        <v/>
      </c>
      <c r="K14" s="316"/>
      <c r="L14" s="296"/>
      <c r="M14" s="461">
        <f t="shared" si="11"/>
        <v>0</v>
      </c>
      <c r="N14" s="367"/>
      <c r="O14" s="296"/>
      <c r="P14" s="462">
        <f t="shared" si="12"/>
        <v>0</v>
      </c>
      <c r="Q14" s="331" t="str">
        <f t="shared" si="13"/>
        <v>X</v>
      </c>
      <c r="R14" s="322"/>
      <c r="S14" s="331"/>
      <c r="T14" s="322"/>
      <c r="U14" s="188"/>
      <c r="W14" s="258"/>
      <c r="X14" s="186">
        <f t="shared" si="2"/>
        <v>0</v>
      </c>
      <c r="Y14" s="186">
        <f t="shared" si="3"/>
        <v>0</v>
      </c>
      <c r="Z14" s="188" t="str">
        <f t="shared" si="4"/>
        <v>OK</v>
      </c>
      <c r="AB14" s="188"/>
      <c r="AC14" s="186">
        <f t="shared" si="5"/>
        <v>0</v>
      </c>
      <c r="AD14" s="186">
        <f t="shared" si="14"/>
        <v>0</v>
      </c>
      <c r="AE14" s="188" t="str">
        <f t="shared" si="7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IF(C14="","",INDEX(구분표!$I$2:$I$319, MATCH(1,(구분표!$E$2:$E$319='1추일입'!B14)*(구분표!$F$2:$F$319='1추일입'!C14)*(구분표!$G$2:$G$319='1추일입'!A14),0)))</f>
        <v/>
      </c>
      <c r="AK14" s="188"/>
      <c r="AM14" s="186">
        <f>IF(AG14="",0,SUMIFS('1추일출'!$Z$6:$Z$112,'1추일출'!$AI$6:$AI$112,'1추일입'!$AG14))</f>
        <v>0</v>
      </c>
      <c r="AN14" s="186" t="str">
        <f>IF(AG14="","",COUNTIFS('1추일출'!$AI$6:$AI$112,'1추일입'!AG14))</f>
        <v/>
      </c>
      <c r="AO14" s="188" t="str">
        <f t="shared" si="8"/>
        <v>OK</v>
      </c>
      <c r="AQ14" s="186">
        <f>IF(AG14="",0,SUMIFS('1추일출'!$AE$6:$AE$112,'1추일출'!$AI$6:$AI$112,'1추일입'!$AG14))</f>
        <v>0</v>
      </c>
      <c r="AR14" s="186" t="str">
        <f>IF(AG14="","",COUNTIFS('1추일출'!$AI$6:$AI$112,AG14))</f>
        <v/>
      </c>
      <c r="AS14" s="188" t="str">
        <f t="shared" si="9"/>
        <v>OK</v>
      </c>
    </row>
    <row r="15" spans="1:45" ht="60" customHeight="1">
      <c r="A15" s="318"/>
      <c r="B15" s="366"/>
      <c r="C15" s="312"/>
      <c r="D15" s="313"/>
      <c r="E15" s="314"/>
      <c r="F15" s="313"/>
      <c r="G15" s="315"/>
      <c r="H15" s="316"/>
      <c r="I15" s="316"/>
      <c r="J15" s="460" t="str">
        <f t="shared" si="10"/>
        <v/>
      </c>
      <c r="K15" s="316"/>
      <c r="L15" s="296"/>
      <c r="M15" s="461">
        <f t="shared" si="11"/>
        <v>0</v>
      </c>
      <c r="N15" s="367"/>
      <c r="O15" s="296"/>
      <c r="P15" s="462">
        <f t="shared" si="12"/>
        <v>0</v>
      </c>
      <c r="Q15" s="331" t="str">
        <f t="shared" si="13"/>
        <v>X</v>
      </c>
      <c r="R15" s="322"/>
      <c r="S15" s="331"/>
      <c r="T15" s="322"/>
      <c r="U15" s="188"/>
      <c r="W15" s="258"/>
      <c r="X15" s="186">
        <f t="shared" si="2"/>
        <v>0</v>
      </c>
      <c r="Y15" s="186">
        <f t="shared" si="3"/>
        <v>0</v>
      </c>
      <c r="Z15" s="188" t="str">
        <f t="shared" si="4"/>
        <v>OK</v>
      </c>
      <c r="AB15" s="188"/>
      <c r="AC15" s="186">
        <f t="shared" si="5"/>
        <v>0</v>
      </c>
      <c r="AD15" s="186">
        <f t="shared" si="14"/>
        <v>0</v>
      </c>
      <c r="AE15" s="188" t="str">
        <f t="shared" si="7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IF(C15="","",INDEX(구분표!$I$2:$I$319, MATCH(1,(구분표!$E$2:$E$319='1추일입'!B15)*(구분표!$F$2:$F$319='1추일입'!C15)*(구분표!$G$2:$G$319='1추일입'!A15),0)))</f>
        <v/>
      </c>
      <c r="AK15" s="188"/>
      <c r="AM15" s="186">
        <f>IF(AG15="",0,SUMIFS('1추일출'!$Z$6:$Z$112,'1추일출'!$AI$6:$AI$112,'1추일입'!$AG15))</f>
        <v>0</v>
      </c>
      <c r="AN15" s="186" t="str">
        <f>IF(AG15="","",COUNTIFS('1추일출'!$AI$6:$AI$112,'1추일입'!AG15))</f>
        <v/>
      </c>
      <c r="AO15" s="188" t="str">
        <f t="shared" si="8"/>
        <v>OK</v>
      </c>
      <c r="AQ15" s="186">
        <f>IF(AG15="",0,SUMIFS('1추일출'!$AE$6:$AE$112,'1추일출'!$AI$6:$AI$112,'1추일입'!$AG15))</f>
        <v>0</v>
      </c>
      <c r="AR15" s="186" t="str">
        <f>IF(AG15="","",COUNTIFS('1추일출'!$AI$6:$AI$112,AG15))</f>
        <v/>
      </c>
      <c r="AS15" s="188" t="str">
        <f t="shared" si="9"/>
        <v>OK</v>
      </c>
    </row>
    <row r="16" spans="1:45" ht="60" customHeight="1">
      <c r="A16" s="318"/>
      <c r="B16" s="366"/>
      <c r="C16" s="312"/>
      <c r="D16" s="313"/>
      <c r="E16" s="314"/>
      <c r="F16" s="313"/>
      <c r="G16" s="315"/>
      <c r="H16" s="316"/>
      <c r="I16" s="316"/>
      <c r="J16" s="460" t="str">
        <f t="shared" si="10"/>
        <v/>
      </c>
      <c r="K16" s="316"/>
      <c r="L16" s="296"/>
      <c r="M16" s="461">
        <f t="shared" si="11"/>
        <v>0</v>
      </c>
      <c r="N16" s="367"/>
      <c r="O16" s="296"/>
      <c r="P16" s="462">
        <f t="shared" si="12"/>
        <v>0</v>
      </c>
      <c r="Q16" s="331" t="str">
        <f t="shared" si="13"/>
        <v>X</v>
      </c>
      <c r="R16" s="322"/>
      <c r="S16" s="331"/>
      <c r="T16" s="322"/>
      <c r="U16" s="188"/>
      <c r="W16" s="258"/>
      <c r="X16" s="186">
        <f t="shared" si="2"/>
        <v>0</v>
      </c>
      <c r="Y16" s="186">
        <f t="shared" si="3"/>
        <v>0</v>
      </c>
      <c r="Z16" s="188" t="str">
        <f t="shared" si="4"/>
        <v>OK</v>
      </c>
      <c r="AB16" s="188"/>
      <c r="AC16" s="186">
        <f t="shared" si="5"/>
        <v>0</v>
      </c>
      <c r="AD16" s="186">
        <f t="shared" si="14"/>
        <v>0</v>
      </c>
      <c r="AE16" s="188" t="str">
        <f t="shared" si="7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IF(C16="","",INDEX(구분표!$I$2:$I$319, MATCH(1,(구분표!$E$2:$E$319='1추일입'!B16)*(구분표!$F$2:$F$319='1추일입'!C16)*(구분표!$G$2:$G$319='1추일입'!A16),0)))</f>
        <v/>
      </c>
      <c r="AK16" s="188"/>
      <c r="AM16" s="186">
        <f>IF(AG16="",0,SUMIFS('1추일출'!$Z$6:$Z$112,'1추일출'!$AI$6:$AI$112,'1추일입'!$AG16))</f>
        <v>0</v>
      </c>
      <c r="AN16" s="186" t="str">
        <f>IF(AG16="","",COUNTIFS('1추일출'!$AI$6:$AI$112,'1추일입'!AG16))</f>
        <v/>
      </c>
      <c r="AO16" s="188" t="str">
        <f t="shared" si="8"/>
        <v>OK</v>
      </c>
      <c r="AQ16" s="186">
        <f>IF(AG16="",0,SUMIFS('1추일출'!$AE$6:$AE$112,'1추일출'!$AI$6:$AI$112,'1추일입'!$AG16))</f>
        <v>0</v>
      </c>
      <c r="AR16" s="186" t="str">
        <f>IF(AG16="","",COUNTIFS('1추일출'!$AI$6:$AI$112,AG16))</f>
        <v/>
      </c>
      <c r="AS16" s="188" t="str">
        <f t="shared" si="9"/>
        <v>OK</v>
      </c>
    </row>
    <row r="17" spans="1:45" ht="60" customHeight="1">
      <c r="A17" s="318"/>
      <c r="B17" s="366"/>
      <c r="C17" s="312"/>
      <c r="D17" s="313"/>
      <c r="E17" s="313"/>
      <c r="F17" s="314"/>
      <c r="G17" s="315"/>
      <c r="H17" s="316"/>
      <c r="I17" s="316"/>
      <c r="J17" s="460" t="str">
        <f t="shared" si="10"/>
        <v/>
      </c>
      <c r="K17" s="316"/>
      <c r="L17" s="296"/>
      <c r="M17" s="461">
        <f t="shared" si="11"/>
        <v>0</v>
      </c>
      <c r="N17" s="367"/>
      <c r="O17" s="296"/>
      <c r="P17" s="462">
        <f t="shared" si="12"/>
        <v>0</v>
      </c>
      <c r="Q17" s="331" t="str">
        <f t="shared" si="13"/>
        <v>X</v>
      </c>
      <c r="R17" s="322"/>
      <c r="S17" s="331"/>
      <c r="T17" s="322"/>
      <c r="U17" s="188"/>
      <c r="W17" s="258"/>
      <c r="X17" s="186">
        <f t="shared" si="2"/>
        <v>0</v>
      </c>
      <c r="Y17" s="186">
        <f t="shared" si="3"/>
        <v>0</v>
      </c>
      <c r="Z17" s="188" t="str">
        <f t="shared" si="4"/>
        <v>OK</v>
      </c>
      <c r="AB17" s="188"/>
      <c r="AC17" s="186">
        <f t="shared" si="5"/>
        <v>0</v>
      </c>
      <c r="AD17" s="186">
        <f t="shared" si="14"/>
        <v>0</v>
      </c>
      <c r="AE17" s="188" t="str">
        <f t="shared" si="7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IF(C17="","",INDEX(구분표!$I$2:$I$319, MATCH(1,(구분표!$E$2:$E$319='1추일입'!B17)*(구분표!$F$2:$F$319='1추일입'!C17)*(구분표!$G$2:$G$319='1추일입'!A17),0)))</f>
        <v/>
      </c>
      <c r="AK17" s="188"/>
      <c r="AM17" s="186">
        <f>IF(AG17="",0,SUMIFS('1추일출'!$Z$6:$Z$112,'1추일출'!$AI$6:$AI$112,'1추일입'!$AG17))</f>
        <v>0</v>
      </c>
      <c r="AN17" s="186" t="str">
        <f>IF(AG17="","",COUNTIFS('1추일출'!$AI$6:$AI$112,'1추일입'!AG17))</f>
        <v/>
      </c>
      <c r="AO17" s="188" t="str">
        <f t="shared" si="8"/>
        <v>OK</v>
      </c>
      <c r="AQ17" s="186">
        <f>IF(AG17="",0,SUMIFS('1추일출'!$AE$6:$AE$112,'1추일출'!$AI$6:$AI$112,'1추일입'!$AG17))</f>
        <v>0</v>
      </c>
      <c r="AR17" s="186" t="str">
        <f>IF(AG17="","",COUNTIFS('1추일출'!$AI$6:$AI$112,AG17))</f>
        <v/>
      </c>
      <c r="AS17" s="188" t="str">
        <f t="shared" si="9"/>
        <v>OK</v>
      </c>
    </row>
    <row r="18" spans="1:45" ht="60" customHeight="1">
      <c r="A18" s="318"/>
      <c r="B18" s="366"/>
      <c r="C18" s="312"/>
      <c r="D18" s="313"/>
      <c r="E18" s="314"/>
      <c r="F18" s="302"/>
      <c r="G18" s="315"/>
      <c r="H18" s="316"/>
      <c r="I18" s="316"/>
      <c r="J18" s="460" t="str">
        <f t="shared" si="10"/>
        <v/>
      </c>
      <c r="K18" s="316"/>
      <c r="L18" s="296"/>
      <c r="M18" s="461">
        <f t="shared" si="11"/>
        <v>0</v>
      </c>
      <c r="N18" s="367"/>
      <c r="O18" s="296"/>
      <c r="P18" s="462">
        <f t="shared" si="12"/>
        <v>0</v>
      </c>
      <c r="Q18" s="331" t="str">
        <f t="shared" si="13"/>
        <v>X</v>
      </c>
      <c r="R18" s="322"/>
      <c r="S18" s="331"/>
      <c r="T18" s="322"/>
      <c r="U18" s="188"/>
      <c r="W18" s="258"/>
      <c r="X18" s="186">
        <f t="shared" si="2"/>
        <v>0</v>
      </c>
      <c r="Y18" s="186">
        <f t="shared" si="3"/>
        <v>0</v>
      </c>
      <c r="Z18" s="188" t="str">
        <f t="shared" si="4"/>
        <v>OK</v>
      </c>
      <c r="AB18" s="188"/>
      <c r="AC18" s="186">
        <f t="shared" si="5"/>
        <v>0</v>
      </c>
      <c r="AD18" s="186">
        <f t="shared" si="14"/>
        <v>0</v>
      </c>
      <c r="AE18" s="188" t="str">
        <f t="shared" si="7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IF(C18="","",INDEX(구분표!$I$2:$I$319, MATCH(1,(구분표!$E$2:$E$319='1추일입'!B18)*(구분표!$F$2:$F$319='1추일입'!C18)*(구분표!$G$2:$G$319='1추일입'!A18),0)))</f>
        <v/>
      </c>
      <c r="AK18" s="188"/>
      <c r="AM18" s="186">
        <f>IF(AG18="",0,SUMIFS('1추일출'!$Z$6:$Z$112,'1추일출'!$AI$6:$AI$112,'1추일입'!$AG18))</f>
        <v>0</v>
      </c>
      <c r="AN18" s="186" t="str">
        <f>IF(AG18="","",COUNTIFS('1추일출'!$AI$6:$AI$112,'1추일입'!AG18))</f>
        <v/>
      </c>
      <c r="AO18" s="188" t="str">
        <f t="shared" si="8"/>
        <v>OK</v>
      </c>
      <c r="AQ18" s="186">
        <f>IF(AG18="",0,SUMIFS('1추일출'!$AE$6:$AE$112,'1추일출'!$AI$6:$AI$112,'1추일입'!$AG18))</f>
        <v>0</v>
      </c>
      <c r="AR18" s="186" t="str">
        <f>IF(AG18="","",COUNTIFS('1추일출'!$AI$6:$AI$112,AG18))</f>
        <v/>
      </c>
      <c r="AS18" s="188" t="str">
        <f t="shared" si="9"/>
        <v>OK</v>
      </c>
    </row>
    <row r="19" spans="1:45" ht="60" customHeight="1">
      <c r="A19" s="318"/>
      <c r="B19" s="366"/>
      <c r="C19" s="312"/>
      <c r="D19" s="313"/>
      <c r="E19" s="314"/>
      <c r="F19" s="313"/>
      <c r="G19" s="315"/>
      <c r="H19" s="316"/>
      <c r="I19" s="316"/>
      <c r="J19" s="460" t="str">
        <f t="shared" si="10"/>
        <v/>
      </c>
      <c r="K19" s="316"/>
      <c r="L19" s="296"/>
      <c r="M19" s="461">
        <f t="shared" si="11"/>
        <v>0</v>
      </c>
      <c r="N19" s="367"/>
      <c r="O19" s="296"/>
      <c r="P19" s="462">
        <f t="shared" si="12"/>
        <v>0</v>
      </c>
      <c r="Q19" s="331" t="str">
        <f t="shared" si="13"/>
        <v>X</v>
      </c>
      <c r="R19" s="369"/>
      <c r="S19" s="331"/>
      <c r="T19" s="322"/>
      <c r="U19" s="188"/>
      <c r="W19" s="258"/>
      <c r="X19" s="186">
        <f t="shared" si="2"/>
        <v>0</v>
      </c>
      <c r="Y19" s="186">
        <f t="shared" si="3"/>
        <v>0</v>
      </c>
      <c r="Z19" s="188" t="str">
        <f t="shared" si="4"/>
        <v>OK</v>
      </c>
      <c r="AB19" s="188"/>
      <c r="AC19" s="186">
        <f t="shared" si="5"/>
        <v>0</v>
      </c>
      <c r="AD19" s="186">
        <f t="shared" si="14"/>
        <v>0</v>
      </c>
      <c r="AE19" s="188" t="str">
        <f t="shared" si="7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IF(C19="","",INDEX(구분표!$I$2:$I$319, MATCH(1,(구분표!$E$2:$E$319='1추일입'!B19)*(구분표!$F$2:$F$319='1추일입'!C19)*(구분표!$G$2:$G$319='1추일입'!A19),0)))</f>
        <v/>
      </c>
      <c r="AK19" s="188"/>
      <c r="AM19" s="186">
        <f>IF(AG19="",0,SUMIFS('1추일출'!$Z$6:$Z$112,'1추일출'!$AI$6:$AI$112,'1추일입'!$AG19))</f>
        <v>0</v>
      </c>
      <c r="AN19" s="186" t="str">
        <f>IF(AG19="","",COUNTIFS('1추일출'!$AI$6:$AI$112,'1추일입'!AG19))</f>
        <v/>
      </c>
      <c r="AO19" s="188" t="str">
        <f t="shared" si="8"/>
        <v>OK</v>
      </c>
      <c r="AQ19" s="186">
        <f>IF(AG19="",0,SUMIFS('1추일출'!$AE$6:$AE$112,'1추일출'!$AI$6:$AI$112,'1추일입'!$AG19))</f>
        <v>0</v>
      </c>
      <c r="AR19" s="186" t="str">
        <f>IF(AG19="","",COUNTIFS('1추일출'!$AI$6:$AI$112,AG19))</f>
        <v/>
      </c>
      <c r="AS19" s="188" t="str">
        <f t="shared" si="9"/>
        <v>OK</v>
      </c>
    </row>
    <row r="20" spans="1:45" ht="60" customHeight="1">
      <c r="A20" s="318"/>
      <c r="B20" s="366"/>
      <c r="C20" s="312"/>
      <c r="D20" s="313"/>
      <c r="E20" s="314"/>
      <c r="F20" s="313"/>
      <c r="G20" s="315"/>
      <c r="H20" s="316"/>
      <c r="I20" s="316"/>
      <c r="J20" s="460" t="str">
        <f t="shared" si="10"/>
        <v/>
      </c>
      <c r="K20" s="316"/>
      <c r="L20" s="296"/>
      <c r="M20" s="461">
        <f t="shared" si="11"/>
        <v>0</v>
      </c>
      <c r="N20" s="367"/>
      <c r="O20" s="296"/>
      <c r="P20" s="462">
        <f t="shared" si="12"/>
        <v>0</v>
      </c>
      <c r="Q20" s="331" t="str">
        <f t="shared" si="13"/>
        <v>X</v>
      </c>
      <c r="R20" s="331"/>
      <c r="S20" s="331"/>
      <c r="T20" s="322"/>
      <c r="U20" s="188"/>
      <c r="W20" s="258"/>
      <c r="X20" s="186">
        <f t="shared" si="2"/>
        <v>0</v>
      </c>
      <c r="Y20" s="186">
        <f t="shared" si="3"/>
        <v>0</v>
      </c>
      <c r="Z20" s="188" t="str">
        <f t="shared" si="4"/>
        <v>OK</v>
      </c>
      <c r="AB20" s="188"/>
      <c r="AC20" s="186">
        <f t="shared" si="5"/>
        <v>0</v>
      </c>
      <c r="AD20" s="186">
        <f t="shared" si="14"/>
        <v>0</v>
      </c>
      <c r="AE20" s="188" t="str">
        <f t="shared" si="7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IF(C20="","",INDEX(구분표!$I$2:$I$319, MATCH(1,(구분표!$E$2:$E$319='1추일입'!B20)*(구분표!$F$2:$F$319='1추일입'!C20)*(구분표!$G$2:$G$319='1추일입'!A20),0)))</f>
        <v/>
      </c>
      <c r="AK20" s="188"/>
      <c r="AM20" s="186">
        <f>IF(AG20="",0,SUMIFS('1추일출'!$Z$6:$Z$112,'1추일출'!$AI$6:$AI$112,'1추일입'!$AG20))</f>
        <v>0</v>
      </c>
      <c r="AN20" s="186" t="str">
        <f>IF(AG20="","",COUNTIFS('1추일출'!$AI$6:$AI$112,'1추일입'!AG20))</f>
        <v/>
      </c>
      <c r="AO20" s="188" t="str">
        <f t="shared" si="8"/>
        <v>OK</v>
      </c>
      <c r="AQ20" s="186">
        <f>IF(AG20="",0,SUMIFS('1추일출'!$AE$6:$AE$112,'1추일출'!$AI$6:$AI$112,'1추일입'!$AG20))</f>
        <v>0</v>
      </c>
      <c r="AR20" s="186" t="str">
        <f>IF(AG20="","",COUNTIFS('1추일출'!$AI$6:$AI$112,AG20))</f>
        <v/>
      </c>
      <c r="AS20" s="188" t="str">
        <f t="shared" si="9"/>
        <v>OK</v>
      </c>
    </row>
    <row r="21" spans="1:45" ht="60" customHeight="1">
      <c r="A21" s="318"/>
      <c r="B21" s="366"/>
      <c r="C21" s="312"/>
      <c r="D21" s="313"/>
      <c r="E21" s="314"/>
      <c r="F21" s="313"/>
      <c r="G21" s="315"/>
      <c r="H21" s="316"/>
      <c r="I21" s="316"/>
      <c r="J21" s="460" t="str">
        <f t="shared" si="10"/>
        <v/>
      </c>
      <c r="K21" s="316"/>
      <c r="L21" s="296"/>
      <c r="M21" s="461">
        <f t="shared" si="11"/>
        <v>0</v>
      </c>
      <c r="N21" s="367"/>
      <c r="O21" s="296"/>
      <c r="P21" s="462">
        <f t="shared" si="12"/>
        <v>0</v>
      </c>
      <c r="Q21" s="331" t="str">
        <f t="shared" si="13"/>
        <v>X</v>
      </c>
      <c r="R21" s="331"/>
      <c r="S21" s="331"/>
      <c r="T21" s="322"/>
      <c r="U21" s="188"/>
      <c r="W21" s="258"/>
      <c r="X21" s="186">
        <f t="shared" si="2"/>
        <v>0</v>
      </c>
      <c r="Y21" s="186">
        <f t="shared" si="3"/>
        <v>0</v>
      </c>
      <c r="Z21" s="188" t="str">
        <f t="shared" si="4"/>
        <v>OK</v>
      </c>
      <c r="AB21" s="188"/>
      <c r="AC21" s="186">
        <f t="shared" si="5"/>
        <v>0</v>
      </c>
      <c r="AD21" s="186">
        <f t="shared" si="14"/>
        <v>0</v>
      </c>
      <c r="AE21" s="188" t="str">
        <f t="shared" ref="AE21:AE40" si="15">IF(SUM(N21:O21)=SUM(AC21:AD21),"OK","검토")</f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IF(C21="","",INDEX(구분표!$I$2:$I$319, MATCH(1,(구분표!$E$2:$E$319='1추일입'!B21)*(구분표!$F$2:$F$319='1추일입'!C21)*(구분표!$G$2:$G$319='1추일입'!A21),0)))</f>
        <v/>
      </c>
      <c r="AK21" s="188"/>
      <c r="AM21" s="186">
        <f>IF(AG21="",0,SUMIFS('1추일출'!$Z$6:$Z$112,'1추일출'!$AI$6:$AI$112,'1추일입'!$AG21))</f>
        <v>0</v>
      </c>
      <c r="AN21" s="186" t="str">
        <f>IF(AG21="","",COUNTIFS('1추일출'!$AI$6:$AI$112,'1추일입'!AG21))</f>
        <v/>
      </c>
      <c r="AO21" s="188" t="str">
        <f t="shared" si="8"/>
        <v>OK</v>
      </c>
      <c r="AQ21" s="186">
        <f>IF(AG21="",0,SUMIFS('1추일출'!$AE$6:$AE$112,'1추일출'!$AI$6:$AI$112,'1추일입'!$AG21))</f>
        <v>0</v>
      </c>
      <c r="AR21" s="186" t="str">
        <f>IF(AG21="","",COUNTIFS('1추일출'!$AI$6:$AI$112,AG21))</f>
        <v/>
      </c>
      <c r="AS21" s="188" t="str">
        <f t="shared" si="9"/>
        <v>OK</v>
      </c>
    </row>
    <row r="22" spans="1:45" ht="60" customHeight="1">
      <c r="A22" s="318"/>
      <c r="B22" s="366"/>
      <c r="C22" s="312"/>
      <c r="D22" s="313"/>
      <c r="E22" s="314"/>
      <c r="F22" s="313"/>
      <c r="G22" s="315"/>
      <c r="H22" s="316"/>
      <c r="I22" s="316"/>
      <c r="J22" s="460" t="str">
        <f t="shared" si="10"/>
        <v/>
      </c>
      <c r="K22" s="316"/>
      <c r="L22" s="296"/>
      <c r="M22" s="461">
        <f t="shared" si="11"/>
        <v>0</v>
      </c>
      <c r="N22" s="367"/>
      <c r="O22" s="296"/>
      <c r="P22" s="462">
        <f t="shared" si="12"/>
        <v>0</v>
      </c>
      <c r="Q22" s="331" t="str">
        <f t="shared" si="13"/>
        <v>X</v>
      </c>
      <c r="R22" s="331"/>
      <c r="S22" s="331"/>
      <c r="T22" s="322"/>
      <c r="U22" s="188"/>
      <c r="W22" s="188"/>
      <c r="X22" s="186">
        <f t="shared" si="2"/>
        <v>0</v>
      </c>
      <c r="Y22" s="186">
        <f t="shared" si="3"/>
        <v>0</v>
      </c>
      <c r="Z22" s="188" t="str">
        <f t="shared" si="4"/>
        <v>OK</v>
      </c>
      <c r="AB22" s="188"/>
      <c r="AC22" s="186">
        <f t="shared" si="5"/>
        <v>0</v>
      </c>
      <c r="AD22" s="186">
        <f t="shared" si="14"/>
        <v>0</v>
      </c>
      <c r="AE22" s="188" t="str">
        <f t="shared" si="15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IF(C22="","",INDEX(구분표!$I$2:$I$319, MATCH(1,(구분표!$E$2:$E$319='1추일입'!B22)*(구분표!$F$2:$F$319='1추일입'!C22)*(구분표!$G$2:$G$319='1추일입'!A22),0)))</f>
        <v/>
      </c>
      <c r="AK22" s="188"/>
      <c r="AM22" s="186">
        <f>IF(AG22="",0,SUMIFS('1추일출'!$Z$6:$Z$112,'1추일출'!$AI$6:$AI$112,'1추일입'!$AG22))</f>
        <v>0</v>
      </c>
      <c r="AN22" s="186" t="str">
        <f>IF(AG22="","",COUNTIFS('1추일출'!$AI$6:$AI$112,'1추일입'!AG22))</f>
        <v/>
      </c>
      <c r="AO22" s="188" t="str">
        <f t="shared" si="8"/>
        <v>OK</v>
      </c>
      <c r="AQ22" s="186">
        <f>IF(AG22="",0,SUMIFS('1추일출'!$AE$6:$AE$112,'1추일출'!$AI$6:$AI$112,'1추일입'!$AG22))</f>
        <v>0</v>
      </c>
      <c r="AR22" s="186" t="str">
        <f>IF(AG22="","",COUNTIFS('1추일출'!$AI$6:$AI$112,AG22))</f>
        <v/>
      </c>
      <c r="AS22" s="188" t="str">
        <f t="shared" si="9"/>
        <v>OK</v>
      </c>
    </row>
    <row r="23" spans="1:45" ht="60" customHeight="1">
      <c r="A23" s="318"/>
      <c r="B23" s="366"/>
      <c r="C23" s="312"/>
      <c r="D23" s="313"/>
      <c r="E23" s="314"/>
      <c r="F23" s="313"/>
      <c r="G23" s="315"/>
      <c r="H23" s="316"/>
      <c r="I23" s="316"/>
      <c r="J23" s="460" t="str">
        <f t="shared" si="10"/>
        <v/>
      </c>
      <c r="K23" s="316"/>
      <c r="L23" s="296"/>
      <c r="M23" s="461">
        <f t="shared" si="11"/>
        <v>0</v>
      </c>
      <c r="N23" s="367"/>
      <c r="O23" s="296"/>
      <c r="P23" s="462">
        <f t="shared" si="12"/>
        <v>0</v>
      </c>
      <c r="Q23" s="331" t="str">
        <f t="shared" si="13"/>
        <v>X</v>
      </c>
      <c r="R23" s="331"/>
      <c r="S23" s="331"/>
      <c r="T23" s="322"/>
      <c r="U23" s="188"/>
      <c r="W23" s="188"/>
      <c r="X23" s="186">
        <f t="shared" si="2"/>
        <v>0</v>
      </c>
      <c r="Y23" s="186">
        <f t="shared" si="3"/>
        <v>0</v>
      </c>
      <c r="Z23" s="188" t="str">
        <f t="shared" si="4"/>
        <v>OK</v>
      </c>
      <c r="AB23" s="188"/>
      <c r="AC23" s="186">
        <f t="shared" si="5"/>
        <v>0</v>
      </c>
      <c r="AD23" s="186">
        <f t="shared" si="14"/>
        <v>0</v>
      </c>
      <c r="AE23" s="188" t="str">
        <f t="shared" si="15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IF(C23="","",INDEX(구분표!$I$2:$I$319, MATCH(1,(구분표!$E$2:$E$319='1추일입'!B23)*(구분표!$F$2:$F$319='1추일입'!C23)*(구분표!$G$2:$G$319='1추일입'!A23),0)))</f>
        <v/>
      </c>
      <c r="AK23" s="188"/>
      <c r="AM23" s="186">
        <f>IF(AG23="",0,SUMIFS('1추일출'!$Z$6:$Z$112,'1추일출'!$AI$6:$AI$112,'1추일입'!$AG23))</f>
        <v>0</v>
      </c>
      <c r="AN23" s="186" t="str">
        <f>IF(AG23="","",COUNTIFS('1추일출'!$AI$6:$AI$112,'1추일입'!AG23))</f>
        <v/>
      </c>
      <c r="AO23" s="188" t="str">
        <f t="shared" si="8"/>
        <v>OK</v>
      </c>
      <c r="AQ23" s="186">
        <f>IF(AG23="",0,SUMIFS('1추일출'!$AE$6:$AE$112,'1추일출'!$AI$6:$AI$112,'1추일입'!$AG23))</f>
        <v>0</v>
      </c>
      <c r="AR23" s="186" t="str">
        <f>IF(AG23="","",COUNTIFS('1추일출'!$AI$6:$AI$112,AG23))</f>
        <v/>
      </c>
      <c r="AS23" s="188" t="str">
        <f t="shared" si="9"/>
        <v>OK</v>
      </c>
    </row>
    <row r="24" spans="1:45" ht="60" customHeight="1">
      <c r="A24" s="318"/>
      <c r="B24" s="366"/>
      <c r="C24" s="312"/>
      <c r="D24" s="313"/>
      <c r="E24" s="314"/>
      <c r="F24" s="313"/>
      <c r="G24" s="315"/>
      <c r="H24" s="316"/>
      <c r="I24" s="316"/>
      <c r="J24" s="460" t="str">
        <f t="shared" si="10"/>
        <v/>
      </c>
      <c r="K24" s="316"/>
      <c r="L24" s="296"/>
      <c r="M24" s="461">
        <f t="shared" si="11"/>
        <v>0</v>
      </c>
      <c r="N24" s="367"/>
      <c r="O24" s="296"/>
      <c r="P24" s="462">
        <f t="shared" si="12"/>
        <v>0</v>
      </c>
      <c r="Q24" s="331" t="str">
        <f t="shared" si="13"/>
        <v>X</v>
      </c>
      <c r="R24" s="331"/>
      <c r="S24" s="331"/>
      <c r="T24" s="322"/>
      <c r="U24" s="188"/>
      <c r="W24" s="188"/>
      <c r="X24" s="186">
        <f t="shared" si="2"/>
        <v>0</v>
      </c>
      <c r="Y24" s="186">
        <f t="shared" si="3"/>
        <v>0</v>
      </c>
      <c r="Z24" s="188" t="str">
        <f t="shared" si="4"/>
        <v>OK</v>
      </c>
      <c r="AB24" s="188"/>
      <c r="AC24" s="186">
        <f t="shared" si="5"/>
        <v>0</v>
      </c>
      <c r="AD24" s="186">
        <f t="shared" si="14"/>
        <v>0</v>
      </c>
      <c r="AE24" s="188" t="str">
        <f t="shared" si="15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IF(C24="","",INDEX(구분표!$I$2:$I$319, MATCH(1,(구분표!$E$2:$E$319='1추일입'!B24)*(구분표!$F$2:$F$319='1추일입'!C24)*(구분표!$G$2:$G$319='1추일입'!A24),0)))</f>
        <v/>
      </c>
      <c r="AK24" s="188"/>
      <c r="AM24" s="186">
        <f>IF(AG24="",0,SUMIFS('1추일출'!$Z$6:$Z$112,'1추일출'!$AI$6:$AI$112,'1추일입'!$AG24))</f>
        <v>0</v>
      </c>
      <c r="AN24" s="186" t="str">
        <f>IF(AG24="","",COUNTIFS('1추일출'!$AI$6:$AI$112,'1추일입'!AG24))</f>
        <v/>
      </c>
      <c r="AO24" s="188" t="str">
        <f t="shared" si="8"/>
        <v>OK</v>
      </c>
      <c r="AQ24" s="186">
        <f>IF(AG24="",0,SUMIFS('1추일출'!$AE$6:$AE$112,'1추일출'!$AI$6:$AI$112,'1추일입'!$AG24))</f>
        <v>0</v>
      </c>
      <c r="AR24" s="186" t="str">
        <f>IF(AG24="","",COUNTIFS('1추일출'!$AI$6:$AI$112,AG24))</f>
        <v/>
      </c>
      <c r="AS24" s="188" t="str">
        <f t="shared" si="9"/>
        <v>OK</v>
      </c>
    </row>
    <row r="25" spans="1:45" ht="60" customHeight="1">
      <c r="A25" s="318"/>
      <c r="B25" s="366"/>
      <c r="C25" s="312"/>
      <c r="D25" s="313"/>
      <c r="E25" s="314"/>
      <c r="F25" s="313"/>
      <c r="G25" s="315"/>
      <c r="H25" s="316"/>
      <c r="I25" s="316"/>
      <c r="J25" s="460" t="str">
        <f t="shared" si="10"/>
        <v/>
      </c>
      <c r="K25" s="316"/>
      <c r="L25" s="296"/>
      <c r="M25" s="461">
        <f t="shared" si="11"/>
        <v>0</v>
      </c>
      <c r="N25" s="367"/>
      <c r="O25" s="296"/>
      <c r="P25" s="462">
        <f t="shared" si="12"/>
        <v>0</v>
      </c>
      <c r="Q25" s="331" t="str">
        <f t="shared" si="13"/>
        <v>X</v>
      </c>
      <c r="R25" s="331"/>
      <c r="S25" s="331"/>
      <c r="T25" s="322"/>
      <c r="U25" s="188"/>
      <c r="W25" s="188"/>
      <c r="X25" s="186">
        <f t="shared" si="2"/>
        <v>0</v>
      </c>
      <c r="Y25" s="186">
        <f t="shared" si="3"/>
        <v>0</v>
      </c>
      <c r="Z25" s="188" t="str">
        <f t="shared" si="4"/>
        <v>OK</v>
      </c>
      <c r="AB25" s="188"/>
      <c r="AC25" s="186">
        <f t="shared" si="5"/>
        <v>0</v>
      </c>
      <c r="AD25" s="186">
        <f t="shared" si="14"/>
        <v>0</v>
      </c>
      <c r="AE25" s="188" t="str">
        <f t="shared" si="15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IF(C25="","",INDEX(구분표!$I$2:$I$319, MATCH(1,(구분표!$E$2:$E$319='1추일입'!B25)*(구분표!$F$2:$F$319='1추일입'!C25)*(구분표!$G$2:$G$319='1추일입'!A25),0)))</f>
        <v/>
      </c>
      <c r="AK25" s="188"/>
      <c r="AM25" s="186">
        <f>IF(AG25="",0,SUMIFS('1추일출'!$Z$6:$Z$112,'1추일출'!$AI$6:$AI$112,'1추일입'!$AG25))</f>
        <v>0</v>
      </c>
      <c r="AN25" s="186" t="str">
        <f>IF(AG25="","",COUNTIFS('1추일출'!$AI$6:$AI$112,'1추일입'!AG25))</f>
        <v/>
      </c>
      <c r="AO25" s="188" t="str">
        <f t="shared" si="8"/>
        <v>OK</v>
      </c>
      <c r="AQ25" s="186">
        <f>IF(AG25="",0,SUMIFS('1추일출'!$AE$6:$AE$112,'1추일출'!$AI$6:$AI$112,'1추일입'!$AG25))</f>
        <v>0</v>
      </c>
      <c r="AR25" s="186" t="str">
        <f>IF(AG25="","",COUNTIFS('1추일출'!$AI$6:$AI$112,AG25))</f>
        <v/>
      </c>
      <c r="AS25" s="188" t="str">
        <f t="shared" si="9"/>
        <v>OK</v>
      </c>
    </row>
    <row r="26" spans="1:45" ht="60" customHeight="1">
      <c r="A26" s="318"/>
      <c r="B26" s="366"/>
      <c r="C26" s="312"/>
      <c r="D26" s="313"/>
      <c r="E26" s="314"/>
      <c r="F26" s="313"/>
      <c r="G26" s="315"/>
      <c r="H26" s="316"/>
      <c r="I26" s="316"/>
      <c r="J26" s="460" t="str">
        <f t="shared" si="10"/>
        <v/>
      </c>
      <c r="K26" s="316"/>
      <c r="L26" s="296"/>
      <c r="M26" s="461">
        <f t="shared" si="11"/>
        <v>0</v>
      </c>
      <c r="N26" s="367"/>
      <c r="O26" s="296"/>
      <c r="P26" s="462">
        <f t="shared" si="12"/>
        <v>0</v>
      </c>
      <c r="Q26" s="331" t="str">
        <f t="shared" si="13"/>
        <v>X</v>
      </c>
      <c r="R26" s="331"/>
      <c r="S26" s="331"/>
      <c r="T26" s="322"/>
      <c r="U26" s="188"/>
      <c r="W26" s="188"/>
      <c r="X26" s="186">
        <f t="shared" si="2"/>
        <v>0</v>
      </c>
      <c r="Y26" s="186">
        <f t="shared" si="3"/>
        <v>0</v>
      </c>
      <c r="Z26" s="188" t="str">
        <f t="shared" si="4"/>
        <v>OK</v>
      </c>
      <c r="AB26" s="188"/>
      <c r="AC26" s="186">
        <f t="shared" si="5"/>
        <v>0</v>
      </c>
      <c r="AD26" s="186">
        <f t="shared" si="14"/>
        <v>0</v>
      </c>
      <c r="AE26" s="188" t="str">
        <f t="shared" si="15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IF(C26="","",INDEX(구분표!$I$2:$I$319, MATCH(1,(구분표!$E$2:$E$319='1추일입'!B26)*(구분표!$F$2:$F$319='1추일입'!C26)*(구분표!$G$2:$G$319='1추일입'!A26),0)))</f>
        <v/>
      </c>
      <c r="AK26" s="188"/>
      <c r="AM26" s="186">
        <f>IF(AG26="",0,SUMIFS('1추일출'!$Z$6:$Z$112,'1추일출'!$AI$6:$AI$112,'1추일입'!$AG26))</f>
        <v>0</v>
      </c>
      <c r="AN26" s="186" t="str">
        <f>IF(AG26="","",COUNTIFS('1추일출'!$AI$6:$AI$112,'1추일입'!AG26))</f>
        <v/>
      </c>
      <c r="AO26" s="188" t="str">
        <f t="shared" si="8"/>
        <v>OK</v>
      </c>
      <c r="AQ26" s="186">
        <f>IF(AG26="",0,SUMIFS('1추일출'!$AE$6:$AE$112,'1추일출'!$AI$6:$AI$112,'1추일입'!$AG26))</f>
        <v>0</v>
      </c>
      <c r="AR26" s="186" t="str">
        <f>IF(AG26="","",COUNTIFS('1추일출'!$AI$6:$AI$112,AG26))</f>
        <v/>
      </c>
      <c r="AS26" s="188" t="str">
        <f t="shared" si="9"/>
        <v>OK</v>
      </c>
    </row>
    <row r="27" spans="1:45" ht="60" customHeight="1">
      <c r="A27" s="318"/>
      <c r="B27" s="366"/>
      <c r="C27" s="312"/>
      <c r="D27" s="313"/>
      <c r="E27" s="314"/>
      <c r="F27" s="313"/>
      <c r="G27" s="315"/>
      <c r="H27" s="316"/>
      <c r="I27" s="316"/>
      <c r="J27" s="460" t="str">
        <f t="shared" si="10"/>
        <v/>
      </c>
      <c r="K27" s="316"/>
      <c r="L27" s="296"/>
      <c r="M27" s="461">
        <f t="shared" si="11"/>
        <v>0</v>
      </c>
      <c r="N27" s="367"/>
      <c r="O27" s="296"/>
      <c r="P27" s="462">
        <f t="shared" si="12"/>
        <v>0</v>
      </c>
      <c r="Q27" s="331" t="str">
        <f t="shared" si="13"/>
        <v>X</v>
      </c>
      <c r="R27" s="331"/>
      <c r="S27" s="331"/>
      <c r="T27" s="322"/>
      <c r="U27" s="188"/>
      <c r="W27" s="188"/>
      <c r="X27" s="186">
        <f t="shared" si="2"/>
        <v>0</v>
      </c>
      <c r="Y27" s="186">
        <f t="shared" si="3"/>
        <v>0</v>
      </c>
      <c r="Z27" s="188" t="str">
        <f t="shared" si="4"/>
        <v>OK</v>
      </c>
      <c r="AB27" s="188"/>
      <c r="AC27" s="186">
        <f t="shared" si="5"/>
        <v>0</v>
      </c>
      <c r="AD27" s="186">
        <f t="shared" si="14"/>
        <v>0</v>
      </c>
      <c r="AE27" s="188" t="str">
        <f t="shared" si="15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IF(C27="","",INDEX(구분표!$I$2:$I$319, MATCH(1,(구분표!$E$2:$E$319='1추일입'!B27)*(구분표!$F$2:$F$319='1추일입'!C27)*(구분표!$G$2:$G$319='1추일입'!A27),0)))</f>
        <v/>
      </c>
      <c r="AK27" s="188"/>
      <c r="AM27" s="186">
        <f>IF(AG27="",0,SUMIFS('1추일출'!$Z$6:$Z$112,'1추일출'!$AI$6:$AI$112,'1추일입'!$AG27))</f>
        <v>0</v>
      </c>
      <c r="AN27" s="186" t="str">
        <f>IF(AG27="","",COUNTIFS('1추일출'!$AI$6:$AI$112,'1추일입'!AG27))</f>
        <v/>
      </c>
      <c r="AO27" s="188" t="str">
        <f t="shared" si="8"/>
        <v>OK</v>
      </c>
      <c r="AQ27" s="186">
        <f>IF(AG27="",0,SUMIFS('1추일출'!$AE$6:$AE$112,'1추일출'!$AI$6:$AI$112,'1추일입'!$AG27))</f>
        <v>0</v>
      </c>
      <c r="AR27" s="186" t="str">
        <f>IF(AG27="","",COUNTIFS('1추일출'!$AI$6:$AI$112,AG27))</f>
        <v/>
      </c>
      <c r="AS27" s="188" t="str">
        <f t="shared" si="9"/>
        <v>OK</v>
      </c>
    </row>
    <row r="28" spans="1:45" ht="60" customHeight="1">
      <c r="A28" s="318"/>
      <c r="B28" s="366"/>
      <c r="C28" s="312"/>
      <c r="D28" s="313"/>
      <c r="E28" s="314"/>
      <c r="F28" s="313"/>
      <c r="G28" s="315"/>
      <c r="H28" s="316"/>
      <c r="I28" s="316"/>
      <c r="J28" s="460" t="str">
        <f t="shared" si="10"/>
        <v/>
      </c>
      <c r="K28" s="316"/>
      <c r="L28" s="296"/>
      <c r="M28" s="461">
        <f t="shared" si="11"/>
        <v>0</v>
      </c>
      <c r="N28" s="367"/>
      <c r="O28" s="296"/>
      <c r="P28" s="462">
        <f t="shared" si="12"/>
        <v>0</v>
      </c>
      <c r="Q28" s="331" t="str">
        <f t="shared" si="13"/>
        <v>X</v>
      </c>
      <c r="R28" s="331"/>
      <c r="S28" s="331"/>
      <c r="T28" s="322"/>
      <c r="U28" s="188"/>
      <c r="W28" s="188"/>
      <c r="X28" s="186">
        <f t="shared" si="2"/>
        <v>0</v>
      </c>
      <c r="Y28" s="186">
        <f t="shared" si="3"/>
        <v>0</v>
      </c>
      <c r="Z28" s="188" t="str">
        <f t="shared" si="4"/>
        <v>OK</v>
      </c>
      <c r="AB28" s="188"/>
      <c r="AC28" s="186">
        <f t="shared" si="5"/>
        <v>0</v>
      </c>
      <c r="AD28" s="186">
        <f t="shared" si="14"/>
        <v>0</v>
      </c>
      <c r="AE28" s="188" t="str">
        <f t="shared" si="15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IF(C28="","",INDEX(구분표!$I$2:$I$319, MATCH(1,(구분표!$E$2:$E$319='1추일입'!B28)*(구분표!$F$2:$F$319='1추일입'!C28)*(구분표!$G$2:$G$319='1추일입'!A28),0)))</f>
        <v/>
      </c>
      <c r="AK28" s="188"/>
      <c r="AM28" s="186">
        <f>IF(AG28="",0,SUMIFS('1추일출'!$Z$6:$Z$112,'1추일출'!$AI$6:$AI$112,'1추일입'!$AG28))</f>
        <v>0</v>
      </c>
      <c r="AN28" s="186" t="str">
        <f>IF(AG28="","",COUNTIFS('1추일출'!$AI$6:$AI$112,'1추일입'!AG28))</f>
        <v/>
      </c>
      <c r="AO28" s="188" t="str">
        <f t="shared" si="8"/>
        <v>OK</v>
      </c>
      <c r="AQ28" s="186">
        <f>IF(AG28="",0,SUMIFS('1추일출'!$AE$6:$AE$112,'1추일출'!$AI$6:$AI$112,'1추일입'!$AG28))</f>
        <v>0</v>
      </c>
      <c r="AR28" s="186" t="str">
        <f>IF(AG28="","",COUNTIFS('1추일출'!$AI$6:$AI$112,AG28))</f>
        <v/>
      </c>
      <c r="AS28" s="188" t="str">
        <f t="shared" si="9"/>
        <v>OK</v>
      </c>
    </row>
    <row r="29" spans="1:45" ht="60" customHeight="1">
      <c r="A29" s="318"/>
      <c r="B29" s="366"/>
      <c r="C29" s="312"/>
      <c r="D29" s="313"/>
      <c r="E29" s="314"/>
      <c r="F29" s="313"/>
      <c r="G29" s="315"/>
      <c r="H29" s="316"/>
      <c r="I29" s="316"/>
      <c r="J29" s="460" t="str">
        <f t="shared" si="10"/>
        <v/>
      </c>
      <c r="K29" s="316"/>
      <c r="L29" s="296"/>
      <c r="M29" s="461">
        <f t="shared" si="11"/>
        <v>0</v>
      </c>
      <c r="N29" s="367"/>
      <c r="O29" s="296"/>
      <c r="P29" s="462">
        <f t="shared" si="12"/>
        <v>0</v>
      </c>
      <c r="Q29" s="331" t="str">
        <f t="shared" si="13"/>
        <v>X</v>
      </c>
      <c r="R29" s="331"/>
      <c r="S29" s="331"/>
      <c r="T29" s="322"/>
      <c r="U29" s="188"/>
      <c r="W29" s="188"/>
      <c r="X29" s="186">
        <f t="shared" si="2"/>
        <v>0</v>
      </c>
      <c r="Y29" s="186">
        <f t="shared" si="3"/>
        <v>0</v>
      </c>
      <c r="Z29" s="188" t="str">
        <f t="shared" si="4"/>
        <v>OK</v>
      </c>
      <c r="AB29" s="188"/>
      <c r="AC29" s="186">
        <f t="shared" si="5"/>
        <v>0</v>
      </c>
      <c r="AD29" s="186">
        <f t="shared" si="14"/>
        <v>0</v>
      </c>
      <c r="AE29" s="188" t="str">
        <f t="shared" si="15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IF(C29="","",INDEX(구분표!$I$2:$I$319, MATCH(1,(구분표!$E$2:$E$319='1추일입'!B29)*(구분표!$F$2:$F$319='1추일입'!C29)*(구분표!$G$2:$G$319='1추일입'!A29),0)))</f>
        <v/>
      </c>
      <c r="AK29" s="188"/>
      <c r="AM29" s="186">
        <f>IF(AG29="",0,SUMIFS('1추일출'!$Z$6:$Z$112,'1추일출'!$AI$6:$AI$112,'1추일입'!$AG29))</f>
        <v>0</v>
      </c>
      <c r="AN29" s="186" t="str">
        <f>IF(AG29="","",COUNTIFS('1추일출'!$AI$6:$AI$112,'1추일입'!AG29))</f>
        <v/>
      </c>
      <c r="AO29" s="188" t="str">
        <f t="shared" si="8"/>
        <v>OK</v>
      </c>
      <c r="AQ29" s="186">
        <f>IF(AG29="",0,SUMIFS('1추일출'!$AE$6:$AE$112,'1추일출'!$AI$6:$AI$112,'1추일입'!$AG29))</f>
        <v>0</v>
      </c>
      <c r="AR29" s="186" t="str">
        <f>IF(AG29="","",COUNTIFS('1추일출'!$AI$6:$AI$112,AG29))</f>
        <v/>
      </c>
      <c r="AS29" s="188" t="str">
        <f t="shared" si="9"/>
        <v>OK</v>
      </c>
    </row>
    <row r="30" spans="1:45" ht="60" customHeight="1">
      <c r="A30" s="318"/>
      <c r="B30" s="366"/>
      <c r="C30" s="312"/>
      <c r="D30" s="313"/>
      <c r="E30" s="314"/>
      <c r="F30" s="313"/>
      <c r="G30" s="315"/>
      <c r="H30" s="316"/>
      <c r="I30" s="316"/>
      <c r="J30" s="460" t="str">
        <f t="shared" si="10"/>
        <v/>
      </c>
      <c r="K30" s="316"/>
      <c r="L30" s="296"/>
      <c r="M30" s="461">
        <f t="shared" si="11"/>
        <v>0</v>
      </c>
      <c r="N30" s="367"/>
      <c r="O30" s="296"/>
      <c r="P30" s="462">
        <f t="shared" si="12"/>
        <v>0</v>
      </c>
      <c r="Q30" s="331" t="str">
        <f t="shared" si="13"/>
        <v>X</v>
      </c>
      <c r="R30" s="331"/>
      <c r="S30" s="331"/>
      <c r="T30" s="322"/>
      <c r="U30" s="188"/>
      <c r="W30" s="188"/>
      <c r="X30" s="186">
        <f t="shared" si="2"/>
        <v>0</v>
      </c>
      <c r="Y30" s="186">
        <f t="shared" si="3"/>
        <v>0</v>
      </c>
      <c r="Z30" s="188" t="str">
        <f t="shared" si="4"/>
        <v>OK</v>
      </c>
      <c r="AB30" s="188"/>
      <c r="AC30" s="186">
        <f t="shared" si="5"/>
        <v>0</v>
      </c>
      <c r="AD30" s="186">
        <f t="shared" si="14"/>
        <v>0</v>
      </c>
      <c r="AE30" s="188" t="str">
        <f t="shared" si="15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IF(C30="","",INDEX(구분표!$I$2:$I$319, MATCH(1,(구분표!$E$2:$E$319='1추일입'!B30)*(구분표!$F$2:$F$319='1추일입'!C30)*(구분표!$G$2:$G$319='1추일입'!A30),0)))</f>
        <v/>
      </c>
      <c r="AK30" s="188"/>
      <c r="AM30" s="186">
        <f>IF(AG30="",0,SUMIFS('1추일출'!$Z$6:$Z$112,'1추일출'!$AI$6:$AI$112,'1추일입'!$AG30))</f>
        <v>0</v>
      </c>
      <c r="AN30" s="186" t="str">
        <f>IF(AG30="","",COUNTIFS('1추일출'!$AI$6:$AI$112,'1추일입'!AG30))</f>
        <v/>
      </c>
      <c r="AO30" s="188" t="str">
        <f t="shared" si="8"/>
        <v>OK</v>
      </c>
      <c r="AQ30" s="186">
        <f>IF(AG30="",0,SUMIFS('1추일출'!$AE$6:$AE$112,'1추일출'!$AI$6:$AI$112,'1추일입'!$AG30))</f>
        <v>0</v>
      </c>
      <c r="AR30" s="186" t="str">
        <f>IF(AG30="","",COUNTIFS('1추일출'!$AI$6:$AI$112,AG30))</f>
        <v/>
      </c>
      <c r="AS30" s="188" t="str">
        <f t="shared" si="9"/>
        <v>OK</v>
      </c>
    </row>
    <row r="31" spans="1:45" ht="60" customHeight="1">
      <c r="A31" s="318"/>
      <c r="B31" s="366"/>
      <c r="C31" s="312"/>
      <c r="D31" s="313"/>
      <c r="E31" s="314"/>
      <c r="F31" s="313"/>
      <c r="G31" s="315"/>
      <c r="H31" s="316"/>
      <c r="I31" s="316"/>
      <c r="J31" s="460" t="str">
        <f t="shared" si="10"/>
        <v/>
      </c>
      <c r="K31" s="316"/>
      <c r="L31" s="296"/>
      <c r="M31" s="461">
        <f t="shared" si="11"/>
        <v>0</v>
      </c>
      <c r="N31" s="367"/>
      <c r="O31" s="296"/>
      <c r="P31" s="462">
        <f t="shared" si="12"/>
        <v>0</v>
      </c>
      <c r="Q31" s="331" t="str">
        <f t="shared" si="13"/>
        <v>X</v>
      </c>
      <c r="R31" s="331"/>
      <c r="S31" s="331"/>
      <c r="T31" s="322"/>
      <c r="U31" s="188"/>
      <c r="W31" s="188"/>
      <c r="X31" s="186">
        <f t="shared" si="2"/>
        <v>0</v>
      </c>
      <c r="Y31" s="186">
        <f t="shared" si="3"/>
        <v>0</v>
      </c>
      <c r="Z31" s="188" t="str">
        <f t="shared" si="4"/>
        <v>OK</v>
      </c>
      <c r="AB31" s="188"/>
      <c r="AC31" s="186">
        <f t="shared" si="5"/>
        <v>0</v>
      </c>
      <c r="AD31" s="186">
        <f t="shared" si="14"/>
        <v>0</v>
      </c>
      <c r="AE31" s="188" t="str">
        <f t="shared" si="15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IF(C31="","",INDEX(구분표!$I$2:$I$319, MATCH(1,(구분표!$E$2:$E$319='1추일입'!B31)*(구분표!$F$2:$F$319='1추일입'!C31)*(구분표!$G$2:$G$319='1추일입'!A31),0)))</f>
        <v/>
      </c>
      <c r="AK31" s="188"/>
      <c r="AM31" s="186">
        <f>IF(AG31="",0,SUMIFS('1추일출'!$Z$6:$Z$112,'1추일출'!$AI$6:$AI$112,'1추일입'!$AG31))</f>
        <v>0</v>
      </c>
      <c r="AN31" s="186" t="str">
        <f>IF(AG31="","",COUNTIFS('1추일출'!$AI$6:$AI$112,'1추일입'!AG31))</f>
        <v/>
      </c>
      <c r="AO31" s="188" t="str">
        <f t="shared" si="8"/>
        <v>OK</v>
      </c>
      <c r="AQ31" s="186">
        <f>IF(AG31="",0,SUMIFS('1추일출'!$AE$6:$AE$112,'1추일출'!$AI$6:$AI$112,'1추일입'!$AG31))</f>
        <v>0</v>
      </c>
      <c r="AR31" s="186" t="str">
        <f>IF(AG31="","",COUNTIFS('1추일출'!$AI$6:$AI$112,AG31))</f>
        <v/>
      </c>
      <c r="AS31" s="188" t="str">
        <f t="shared" si="9"/>
        <v>OK</v>
      </c>
    </row>
    <row r="32" spans="1:45" ht="60" customHeight="1">
      <c r="A32" s="318"/>
      <c r="B32" s="366"/>
      <c r="C32" s="312"/>
      <c r="D32" s="313"/>
      <c r="E32" s="314"/>
      <c r="F32" s="313"/>
      <c r="G32" s="315"/>
      <c r="H32" s="316"/>
      <c r="I32" s="316"/>
      <c r="J32" s="460" t="str">
        <f t="shared" si="10"/>
        <v/>
      </c>
      <c r="K32" s="316"/>
      <c r="L32" s="296"/>
      <c r="M32" s="461">
        <f t="shared" si="11"/>
        <v>0</v>
      </c>
      <c r="N32" s="367"/>
      <c r="O32" s="296"/>
      <c r="P32" s="462">
        <f t="shared" si="12"/>
        <v>0</v>
      </c>
      <c r="Q32" s="331" t="str">
        <f t="shared" si="13"/>
        <v>X</v>
      </c>
      <c r="R32" s="331"/>
      <c r="S32" s="331"/>
      <c r="T32" s="322"/>
      <c r="U32" s="188"/>
      <c r="W32" s="188"/>
      <c r="X32" s="186">
        <f t="shared" si="2"/>
        <v>0</v>
      </c>
      <c r="Y32" s="186">
        <f t="shared" si="3"/>
        <v>0</v>
      </c>
      <c r="Z32" s="188" t="str">
        <f t="shared" si="4"/>
        <v>OK</v>
      </c>
      <c r="AB32" s="188"/>
      <c r="AC32" s="186">
        <f t="shared" si="5"/>
        <v>0</v>
      </c>
      <c r="AD32" s="186">
        <f t="shared" si="14"/>
        <v>0</v>
      </c>
      <c r="AE32" s="188" t="str">
        <f t="shared" si="15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IF(C32="","",INDEX(구분표!$I$2:$I$319, MATCH(1,(구분표!$E$2:$E$319='1추일입'!B32)*(구분표!$F$2:$F$319='1추일입'!C32)*(구분표!$G$2:$G$319='1추일입'!A32),0)))</f>
        <v/>
      </c>
      <c r="AK32" s="188"/>
      <c r="AM32" s="186">
        <f>IF(AG32="",0,SUMIFS('1추일출'!$Z$6:$Z$112,'1추일출'!$AI$6:$AI$112,'1추일입'!$AG32))</f>
        <v>0</v>
      </c>
      <c r="AN32" s="186" t="str">
        <f>IF(AG32="","",COUNTIFS('1추일출'!$AI$6:$AI$112,'1추일입'!AG32))</f>
        <v/>
      </c>
      <c r="AO32" s="188" t="str">
        <f t="shared" si="8"/>
        <v>OK</v>
      </c>
      <c r="AQ32" s="186">
        <f>IF(AG32="",0,SUMIFS('1추일출'!$AE$6:$AE$112,'1추일출'!$AI$6:$AI$112,'1추일입'!$AG32))</f>
        <v>0</v>
      </c>
      <c r="AR32" s="186" t="str">
        <f>IF(AG32="","",COUNTIFS('1추일출'!$AI$6:$AI$112,AG32))</f>
        <v/>
      </c>
      <c r="AS32" s="188" t="str">
        <f t="shared" si="9"/>
        <v>OK</v>
      </c>
    </row>
    <row r="33" spans="1:45" ht="60" customHeight="1">
      <c r="A33" s="318"/>
      <c r="B33" s="366"/>
      <c r="C33" s="312"/>
      <c r="D33" s="313"/>
      <c r="E33" s="314"/>
      <c r="F33" s="313"/>
      <c r="G33" s="315"/>
      <c r="H33" s="316"/>
      <c r="I33" s="316"/>
      <c r="J33" s="460" t="str">
        <f t="shared" si="10"/>
        <v/>
      </c>
      <c r="K33" s="316"/>
      <c r="L33" s="296"/>
      <c r="M33" s="461">
        <f t="shared" si="11"/>
        <v>0</v>
      </c>
      <c r="N33" s="367"/>
      <c r="O33" s="296"/>
      <c r="P33" s="462">
        <f t="shared" si="12"/>
        <v>0</v>
      </c>
      <c r="Q33" s="331" t="str">
        <f t="shared" si="13"/>
        <v>X</v>
      </c>
      <c r="R33" s="331"/>
      <c r="S33" s="331"/>
      <c r="T33" s="322"/>
      <c r="U33" s="188"/>
      <c r="W33" s="188"/>
      <c r="X33" s="186">
        <f t="shared" si="2"/>
        <v>0</v>
      </c>
      <c r="Y33" s="186">
        <f t="shared" si="3"/>
        <v>0</v>
      </c>
      <c r="Z33" s="188" t="str">
        <f t="shared" si="4"/>
        <v>OK</v>
      </c>
      <c r="AB33" s="188"/>
      <c r="AC33" s="186">
        <f t="shared" si="5"/>
        <v>0</v>
      </c>
      <c r="AD33" s="186">
        <f t="shared" si="14"/>
        <v>0</v>
      </c>
      <c r="AE33" s="188" t="str">
        <f t="shared" si="15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IF(C33="","",INDEX(구분표!$I$2:$I$319, MATCH(1,(구분표!$E$2:$E$319='1추일입'!B33)*(구분표!$F$2:$F$319='1추일입'!C33)*(구분표!$G$2:$G$319='1추일입'!A33),0)))</f>
        <v/>
      </c>
      <c r="AK33" s="188"/>
      <c r="AM33" s="186">
        <f>IF(AG33="",0,SUMIFS('1추일출'!$Z$6:$Z$112,'1추일출'!$AI$6:$AI$112,'1추일입'!$AG33))</f>
        <v>0</v>
      </c>
      <c r="AN33" s="186" t="str">
        <f>IF(AG33="","",COUNTIFS('1추일출'!$AI$6:$AI$112,'1추일입'!AG33))</f>
        <v/>
      </c>
      <c r="AO33" s="188" t="str">
        <f t="shared" si="8"/>
        <v>OK</v>
      </c>
      <c r="AQ33" s="186">
        <f>IF(AG33="",0,SUMIFS('1추일출'!$AE$6:$AE$112,'1추일출'!$AI$6:$AI$112,'1추일입'!$AG33))</f>
        <v>0</v>
      </c>
      <c r="AR33" s="186" t="str">
        <f>IF(AG33="","",COUNTIFS('1추일출'!$AI$6:$AI$112,AG33))</f>
        <v/>
      </c>
      <c r="AS33" s="188" t="str">
        <f t="shared" si="9"/>
        <v>OK</v>
      </c>
    </row>
    <row r="34" spans="1:45" ht="60" customHeight="1">
      <c r="A34" s="318"/>
      <c r="B34" s="366"/>
      <c r="C34" s="312"/>
      <c r="D34" s="313"/>
      <c r="E34" s="314"/>
      <c r="F34" s="313"/>
      <c r="G34" s="315"/>
      <c r="H34" s="316"/>
      <c r="I34" s="316"/>
      <c r="J34" s="460" t="str">
        <f t="shared" si="10"/>
        <v/>
      </c>
      <c r="K34" s="316"/>
      <c r="L34" s="296"/>
      <c r="M34" s="461">
        <f t="shared" si="11"/>
        <v>0</v>
      </c>
      <c r="N34" s="367"/>
      <c r="O34" s="296"/>
      <c r="P34" s="462">
        <f t="shared" si="12"/>
        <v>0</v>
      </c>
      <c r="Q34" s="331" t="str">
        <f t="shared" si="13"/>
        <v>X</v>
      </c>
      <c r="R34" s="331"/>
      <c r="S34" s="331"/>
      <c r="T34" s="322"/>
      <c r="U34" s="188"/>
      <c r="W34" s="188"/>
      <c r="X34" s="186">
        <f t="shared" si="2"/>
        <v>0</v>
      </c>
      <c r="Y34" s="186">
        <f t="shared" si="3"/>
        <v>0</v>
      </c>
      <c r="Z34" s="188" t="str">
        <f t="shared" si="4"/>
        <v>OK</v>
      </c>
      <c r="AB34" s="188"/>
      <c r="AC34" s="186">
        <f t="shared" si="5"/>
        <v>0</v>
      </c>
      <c r="AD34" s="186">
        <f t="shared" si="14"/>
        <v>0</v>
      </c>
      <c r="AE34" s="188" t="str">
        <f t="shared" si="15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IF(C34="","",INDEX(구분표!$I$2:$I$319, MATCH(1,(구분표!$E$2:$E$319='1추일입'!B34)*(구분표!$F$2:$F$319='1추일입'!C34)*(구분표!$G$2:$G$319='1추일입'!A34),0)))</f>
        <v/>
      </c>
      <c r="AK34" s="188"/>
      <c r="AM34" s="186">
        <f>IF(AG34="",0,SUMIFS('1추일출'!$Z$6:$Z$112,'1추일출'!$AI$6:$AI$112,'1추일입'!$AG34))</f>
        <v>0</v>
      </c>
      <c r="AN34" s="186" t="str">
        <f>IF(AG34="","",COUNTIFS('1추일출'!$AI$6:$AI$112,'1추일입'!AG34))</f>
        <v/>
      </c>
      <c r="AO34" s="188" t="str">
        <f t="shared" si="8"/>
        <v>OK</v>
      </c>
      <c r="AQ34" s="186">
        <f>IF(AG34="",0,SUMIFS('1추일출'!$AE$6:$AE$112,'1추일출'!$AI$6:$AI$112,'1추일입'!$AG34))</f>
        <v>0</v>
      </c>
      <c r="AR34" s="186" t="str">
        <f>IF(AG34="","",COUNTIFS('1추일출'!$AI$6:$AI$112,AG34))</f>
        <v/>
      </c>
      <c r="AS34" s="188" t="str">
        <f t="shared" si="9"/>
        <v>OK</v>
      </c>
    </row>
    <row r="35" spans="1:45" ht="60" customHeight="1">
      <c r="A35" s="318"/>
      <c r="B35" s="366"/>
      <c r="C35" s="312"/>
      <c r="D35" s="313"/>
      <c r="E35" s="314"/>
      <c r="F35" s="313"/>
      <c r="G35" s="315"/>
      <c r="H35" s="316"/>
      <c r="I35" s="316"/>
      <c r="J35" s="460" t="str">
        <f t="shared" si="10"/>
        <v/>
      </c>
      <c r="K35" s="316"/>
      <c r="L35" s="296"/>
      <c r="M35" s="461">
        <f t="shared" si="11"/>
        <v>0</v>
      </c>
      <c r="N35" s="367"/>
      <c r="O35" s="296"/>
      <c r="P35" s="462">
        <f t="shared" si="12"/>
        <v>0</v>
      </c>
      <c r="Q35" s="331" t="str">
        <f t="shared" si="13"/>
        <v>X</v>
      </c>
      <c r="R35" s="331"/>
      <c r="S35" s="331"/>
      <c r="T35" s="322"/>
      <c r="U35" s="188"/>
      <c r="W35" s="188"/>
      <c r="X35" s="186">
        <f t="shared" si="2"/>
        <v>0</v>
      </c>
      <c r="Y35" s="186">
        <f t="shared" si="3"/>
        <v>0</v>
      </c>
      <c r="Z35" s="188" t="str">
        <f t="shared" si="4"/>
        <v>OK</v>
      </c>
      <c r="AB35" s="188"/>
      <c r="AC35" s="186">
        <f t="shared" si="5"/>
        <v>0</v>
      </c>
      <c r="AD35" s="186">
        <f t="shared" si="14"/>
        <v>0</v>
      </c>
      <c r="AE35" s="188" t="str">
        <f t="shared" si="15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IF(AG35="",0,SUMIFS('1추일출'!$Z$6:$Z$112,'1추일출'!$AI$6:$AI$112,'1추일입'!$AG35))</f>
        <v>0</v>
      </c>
      <c r="AN35" s="186" t="str">
        <f>IF(AG35="","",COUNTIFS('1추일출'!$AI$6:$AI$112,'1추일입'!AG35))</f>
        <v/>
      </c>
      <c r="AO35" s="188" t="str">
        <f t="shared" si="8"/>
        <v>OK</v>
      </c>
      <c r="AQ35" s="186">
        <f>IF(AG35="",0,SUMIFS('1추일출'!$AE$6:$AE$112,'1추일출'!$AI$6:$AI$112,'1추일입'!$AG35))</f>
        <v>0</v>
      </c>
      <c r="AR35" s="186" t="str">
        <f>IF(AG35="","",COUNTIFS('1추일출'!$AI$6:$AI$112,AG35))</f>
        <v/>
      </c>
      <c r="AS35" s="188" t="str">
        <f t="shared" si="9"/>
        <v>OK</v>
      </c>
    </row>
    <row r="36" spans="1:45" ht="60" customHeight="1">
      <c r="A36" s="318"/>
      <c r="B36" s="366"/>
      <c r="C36" s="312"/>
      <c r="D36" s="313"/>
      <c r="E36" s="314"/>
      <c r="F36" s="313"/>
      <c r="G36" s="315"/>
      <c r="H36" s="316"/>
      <c r="I36" s="316"/>
      <c r="J36" s="460" t="str">
        <f t="shared" si="10"/>
        <v/>
      </c>
      <c r="K36" s="316"/>
      <c r="L36" s="296"/>
      <c r="M36" s="461">
        <f t="shared" si="11"/>
        <v>0</v>
      </c>
      <c r="N36" s="367"/>
      <c r="O36" s="296"/>
      <c r="P36" s="462">
        <f t="shared" si="12"/>
        <v>0</v>
      </c>
      <c r="Q36" s="331" t="str">
        <f t="shared" si="13"/>
        <v>X</v>
      </c>
      <c r="R36" s="331"/>
      <c r="S36" s="331"/>
      <c r="T36" s="322"/>
      <c r="U36" s="188"/>
      <c r="W36" s="188"/>
      <c r="X36" s="186">
        <f t="shared" si="2"/>
        <v>0</v>
      </c>
      <c r="Y36" s="186">
        <f t="shared" si="3"/>
        <v>0</v>
      </c>
      <c r="Z36" s="188" t="str">
        <f t="shared" si="4"/>
        <v>OK</v>
      </c>
      <c r="AB36" s="188"/>
      <c r="AC36" s="186">
        <f t="shared" si="5"/>
        <v>0</v>
      </c>
      <c r="AD36" s="186">
        <f t="shared" si="14"/>
        <v>0</v>
      </c>
      <c r="AE36" s="188" t="str">
        <f t="shared" si="15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IF(AG36="",0,SUMIFS('1추일출'!$Z$6:$Z$112,'1추일출'!$AI$6:$AI$112,'1추일입'!$AG36))</f>
        <v>0</v>
      </c>
      <c r="AN36" s="186" t="str">
        <f>IF(AG36="","",COUNTIFS('1추일출'!$AI$6:$AI$112,'1추일입'!AG36))</f>
        <v/>
      </c>
      <c r="AO36" s="188" t="str">
        <f t="shared" si="8"/>
        <v>OK</v>
      </c>
      <c r="AQ36" s="186">
        <f>IF(AG36="",0,SUMIFS('1추일출'!$AE$6:$AE$112,'1추일출'!$AI$6:$AI$112,'1추일입'!$AG36))</f>
        <v>0</v>
      </c>
      <c r="AR36" s="186" t="str">
        <f>IF(AG36="","",COUNTIFS('1추일출'!$AI$6:$AI$112,AG36))</f>
        <v/>
      </c>
      <c r="AS36" s="188" t="str">
        <f t="shared" si="9"/>
        <v>OK</v>
      </c>
    </row>
    <row r="37" spans="1:45" ht="60" customHeight="1">
      <c r="A37" s="318"/>
      <c r="B37" s="366"/>
      <c r="C37" s="312"/>
      <c r="D37" s="313"/>
      <c r="E37" s="314"/>
      <c r="F37" s="313"/>
      <c r="G37" s="315"/>
      <c r="H37" s="316"/>
      <c r="I37" s="316"/>
      <c r="J37" s="460" t="str">
        <f t="shared" si="10"/>
        <v/>
      </c>
      <c r="K37" s="316"/>
      <c r="L37" s="296"/>
      <c r="M37" s="461">
        <f t="shared" si="11"/>
        <v>0</v>
      </c>
      <c r="N37" s="367"/>
      <c r="O37" s="296"/>
      <c r="P37" s="462">
        <f t="shared" si="12"/>
        <v>0</v>
      </c>
      <c r="Q37" s="331" t="str">
        <f t="shared" si="13"/>
        <v>X</v>
      </c>
      <c r="R37" s="331"/>
      <c r="S37" s="331"/>
      <c r="T37" s="322"/>
      <c r="U37" s="188"/>
      <c r="W37" s="188"/>
      <c r="X37" s="186">
        <f t="shared" si="2"/>
        <v>0</v>
      </c>
      <c r="Y37" s="186">
        <f t="shared" si="3"/>
        <v>0</v>
      </c>
      <c r="Z37" s="188" t="str">
        <f t="shared" si="4"/>
        <v>OK</v>
      </c>
      <c r="AB37" s="188"/>
      <c r="AC37" s="186">
        <f t="shared" si="5"/>
        <v>0</v>
      </c>
      <c r="AD37" s="186">
        <f t="shared" si="14"/>
        <v>0</v>
      </c>
      <c r="AE37" s="188" t="str">
        <f t="shared" si="15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IF(AG37="",0,SUMIFS('1추일출'!$Z$6:$Z$112,'1추일출'!$AI$6:$AI$112,'1추일입'!$AG37))</f>
        <v>0</v>
      </c>
      <c r="AN37" s="186" t="str">
        <f>IF(AG37="","",COUNTIFS('1추일출'!$AI$6:$AI$112,'1추일입'!AG37))</f>
        <v/>
      </c>
      <c r="AO37" s="188" t="str">
        <f t="shared" si="8"/>
        <v>OK</v>
      </c>
      <c r="AQ37" s="186">
        <f>IF(AG37="",0,SUMIFS('1추일출'!$AE$6:$AE$112,'1추일출'!$AI$6:$AI$112,'1추일입'!$AG37))</f>
        <v>0</v>
      </c>
      <c r="AR37" s="186" t="str">
        <f>IF(AG37="","",COUNTIFS('1추일출'!$AI$6:$AI$112,AG37))</f>
        <v/>
      </c>
      <c r="AS37" s="188" t="str">
        <f t="shared" si="9"/>
        <v>OK</v>
      </c>
    </row>
    <row r="38" spans="1:45" ht="60" customHeight="1">
      <c r="A38" s="318"/>
      <c r="B38" s="366"/>
      <c r="C38" s="312"/>
      <c r="D38" s="313"/>
      <c r="E38" s="314"/>
      <c r="F38" s="313"/>
      <c r="G38" s="315"/>
      <c r="H38" s="316"/>
      <c r="I38" s="316"/>
      <c r="J38" s="460" t="str">
        <f t="shared" si="10"/>
        <v/>
      </c>
      <c r="K38" s="316"/>
      <c r="L38" s="296"/>
      <c r="M38" s="461">
        <f t="shared" si="11"/>
        <v>0</v>
      </c>
      <c r="N38" s="367"/>
      <c r="O38" s="296"/>
      <c r="P38" s="462">
        <f t="shared" si="12"/>
        <v>0</v>
      </c>
      <c r="Q38" s="331" t="str">
        <f t="shared" si="13"/>
        <v>X</v>
      </c>
      <c r="R38" s="331"/>
      <c r="S38" s="331"/>
      <c r="T38" s="322"/>
      <c r="U38" s="188"/>
      <c r="W38" s="188"/>
      <c r="X38" s="186">
        <f t="shared" si="2"/>
        <v>0</v>
      </c>
      <c r="Y38" s="186">
        <f t="shared" si="3"/>
        <v>0</v>
      </c>
      <c r="Z38" s="188" t="str">
        <f t="shared" si="4"/>
        <v>OK</v>
      </c>
      <c r="AB38" s="188"/>
      <c r="AC38" s="186">
        <f t="shared" si="5"/>
        <v>0</v>
      </c>
      <c r="AD38" s="186">
        <f t="shared" si="14"/>
        <v>0</v>
      </c>
      <c r="AE38" s="188" t="str">
        <f t="shared" si="15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IF(AG38="",0,SUMIFS('1추일출'!$Z$6:$Z$112,'1추일출'!$AI$6:$AI$112,'1추일입'!$AG38))</f>
        <v>0</v>
      </c>
      <c r="AN38" s="186" t="str">
        <f>IF(AG38="","",COUNTIFS('1추일출'!$AI$6:$AI$112,'1추일입'!AG38))</f>
        <v/>
      </c>
      <c r="AO38" s="188" t="str">
        <f t="shared" si="8"/>
        <v>OK</v>
      </c>
      <c r="AQ38" s="186">
        <f>IF(AG38="",0,SUMIFS('1추일출'!$AE$6:$AE$112,'1추일출'!$AI$6:$AI$112,'1추일입'!$AG38))</f>
        <v>0</v>
      </c>
      <c r="AR38" s="186" t="str">
        <f>IF(AG38="","",COUNTIFS('1추일출'!$AI$6:$AI$112,AG38))</f>
        <v/>
      </c>
      <c r="AS38" s="188" t="str">
        <f t="shared" si="9"/>
        <v>OK</v>
      </c>
    </row>
    <row r="39" spans="1:45" ht="60" customHeight="1">
      <c r="A39" s="318"/>
      <c r="B39" s="366"/>
      <c r="C39" s="312"/>
      <c r="D39" s="313"/>
      <c r="E39" s="314"/>
      <c r="F39" s="313"/>
      <c r="G39" s="315"/>
      <c r="H39" s="316"/>
      <c r="I39" s="316"/>
      <c r="J39" s="460" t="str">
        <f t="shared" si="10"/>
        <v/>
      </c>
      <c r="K39" s="316"/>
      <c r="L39" s="296"/>
      <c r="M39" s="461">
        <f t="shared" si="11"/>
        <v>0</v>
      </c>
      <c r="N39" s="367"/>
      <c r="O39" s="296"/>
      <c r="P39" s="462">
        <f t="shared" si="12"/>
        <v>0</v>
      </c>
      <c r="Q39" s="331" t="str">
        <f t="shared" si="13"/>
        <v>X</v>
      </c>
      <c r="R39" s="331"/>
      <c r="S39" s="331"/>
      <c r="T39" s="322"/>
      <c r="U39" s="188"/>
      <c r="W39" s="188"/>
      <c r="X39" s="186">
        <f t="shared" si="2"/>
        <v>0</v>
      </c>
      <c r="Y39" s="186">
        <f t="shared" si="3"/>
        <v>0</v>
      </c>
      <c r="Z39" s="188" t="str">
        <f t="shared" si="4"/>
        <v>OK</v>
      </c>
      <c r="AB39" s="188"/>
      <c r="AC39" s="186">
        <f t="shared" si="5"/>
        <v>0</v>
      </c>
      <c r="AD39" s="186">
        <f t="shared" si="14"/>
        <v>0</v>
      </c>
      <c r="AE39" s="188" t="str">
        <f t="shared" si="15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IF(AG39="",0,SUMIFS('1추일출'!$Z$6:$Z$112,'1추일출'!$AI$6:$AI$112,'1추일입'!$AG39))</f>
        <v>0</v>
      </c>
      <c r="AN39" s="186" t="str">
        <f>IF(AG39="","",COUNTIFS('1추일출'!$AI$6:$AI$112,'1추일입'!AG39))</f>
        <v/>
      </c>
      <c r="AO39" s="188" t="str">
        <f t="shared" si="8"/>
        <v>OK</v>
      </c>
      <c r="AQ39" s="186">
        <f>IF(AG39="",0,SUMIFS('1추일출'!$AE$6:$AE$112,'1추일출'!$AI$6:$AI$112,'1추일입'!$AG39))</f>
        <v>0</v>
      </c>
      <c r="AR39" s="186" t="str">
        <f>IF(AG39="","",COUNTIFS('1추일출'!$AI$6:$AI$112,AG39))</f>
        <v/>
      </c>
      <c r="AS39" s="188" t="str">
        <f t="shared" si="9"/>
        <v>OK</v>
      </c>
    </row>
    <row r="40" spans="1:45" ht="60" customHeight="1" thickBot="1">
      <c r="A40" s="318"/>
      <c r="B40" s="366"/>
      <c r="C40" s="312"/>
      <c r="D40" s="313"/>
      <c r="E40" s="314"/>
      <c r="F40" s="313"/>
      <c r="G40" s="315"/>
      <c r="H40" s="316"/>
      <c r="I40" s="316"/>
      <c r="J40" s="460" t="str">
        <f t="shared" si="10"/>
        <v/>
      </c>
      <c r="K40" s="316"/>
      <c r="L40" s="296"/>
      <c r="M40" s="461">
        <f t="shared" si="11"/>
        <v>0</v>
      </c>
      <c r="N40" s="370"/>
      <c r="O40" s="371"/>
      <c r="P40" s="463">
        <f t="shared" si="12"/>
        <v>0</v>
      </c>
      <c r="Q40" s="331" t="str">
        <f t="shared" si="13"/>
        <v>X</v>
      </c>
      <c r="R40" s="331"/>
      <c r="S40" s="331"/>
      <c r="T40" s="322"/>
      <c r="U40" s="188"/>
      <c r="W40" s="188"/>
      <c r="X40" s="186">
        <f t="shared" si="2"/>
        <v>0</v>
      </c>
      <c r="Y40" s="186">
        <f t="shared" si="3"/>
        <v>0</v>
      </c>
      <c r="Z40" s="188" t="str">
        <f t="shared" si="4"/>
        <v>OK</v>
      </c>
      <c r="AB40" s="188"/>
      <c r="AC40" s="186">
        <f t="shared" si="5"/>
        <v>0</v>
      </c>
      <c r="AD40" s="186">
        <f t="shared" si="14"/>
        <v>0</v>
      </c>
      <c r="AE40" s="188" t="str">
        <f t="shared" si="15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IF(C40="","",INDEX(구분표!$I$2:$I$319, MATCH(1,(구분표!$E$2:$E$319='1추일입'!B40)*(구분표!$F$2:$F$319='1추일입'!C40)*(구분표!$G$2:$G$319='1추일입'!A40),0)))</f>
        <v/>
      </c>
      <c r="AK40" s="188"/>
      <c r="AM40" s="186">
        <f>IF(AG40="",0,SUMIFS('1추일출'!$Z$6:$Z$112,'1추일출'!$AI$6:$AI$112,'1추일입'!$AG40))</f>
        <v>0</v>
      </c>
      <c r="AN40" s="186" t="str">
        <f>IF(AG40="","",COUNTIFS('1추일출'!$AI$6:$AI$112,'1추일입'!AG40))</f>
        <v/>
      </c>
      <c r="AO40" s="188" t="str">
        <f t="shared" si="8"/>
        <v>OK</v>
      </c>
      <c r="AQ40" s="186">
        <f>IF(AG40="",0,SUMIFS('1추일출'!$AE$6:$AE$112,'1추일출'!$AI$6:$AI$112,'1추일입'!$AG40))</f>
        <v>0</v>
      </c>
      <c r="AR40" s="186" t="str">
        <f>IF(AG40="","",COUNTIFS('1추일출'!$AI$6:$AI$112,AG40))</f>
        <v/>
      </c>
      <c r="AS40" s="188" t="str">
        <f t="shared" si="9"/>
        <v>OK</v>
      </c>
    </row>
  </sheetData>
  <sheetProtection formatCells="0" autoFilter="0"/>
  <autoFilter ref="A6:AS40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43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14"/>
  <sheetViews>
    <sheetView tabSelected="1" view="pageBreakPreview" zoomScale="70" zoomScaleNormal="100" zoomScaleSheetLayoutView="70" workbookViewId="0">
      <pane xSplit="8" ySplit="6" topLeftCell="I49" activePane="bottomRight" state="frozen"/>
      <selection activeCell="G8" sqref="G8"/>
      <selection pane="topRight" activeCell="G8" sqref="G8"/>
      <selection pane="bottomLeft" activeCell="G8" sqref="G8"/>
      <selection pane="bottomRight" activeCell="L52" sqref="L52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7" width="7.125" style="173" customWidth="1"/>
    <col min="8" max="8" width="44.125" style="250" customWidth="1"/>
    <col min="9" max="10" width="14.625" style="173" customWidth="1"/>
    <col min="11" max="11" width="15.625" style="173" customWidth="1"/>
    <col min="12" max="13" width="13.125" style="173" customWidth="1"/>
    <col min="14" max="15" width="15.625" style="173" customWidth="1"/>
    <col min="16" max="16" width="13.625" style="173" customWidth="1"/>
    <col min="17" max="17" width="13.625" style="262" customWidth="1"/>
    <col min="18" max="18" width="15.625" style="198" customWidth="1"/>
    <col min="19" max="19" width="6.625" style="173" customWidth="1"/>
    <col min="20" max="20" width="28.875" style="173" customWidth="1"/>
    <col min="21" max="21" width="25.375" style="262" customWidth="1"/>
    <col min="22" max="22" width="29.25" style="175" customWidth="1"/>
    <col min="23" max="23" width="6.625" style="173" customWidth="1"/>
    <col min="24" max="24" width="3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640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7"/>
      <c r="R1" s="189"/>
      <c r="S1" s="171"/>
      <c r="T1" s="171"/>
      <c r="U1" s="327"/>
      <c r="V1" s="172"/>
    </row>
    <row r="2" spans="1:45" ht="20.25" customHeight="1">
      <c r="B2" s="174" t="s">
        <v>431</v>
      </c>
      <c r="H2" s="340"/>
      <c r="I2" s="262"/>
      <c r="J2" s="262"/>
      <c r="K2" s="262"/>
      <c r="L2" s="262"/>
      <c r="M2" s="262"/>
      <c r="N2" s="190"/>
      <c r="O2" s="190"/>
      <c r="P2" s="190"/>
      <c r="Q2" s="263">
        <f>R2-'1추일입'!P2</f>
        <v>0</v>
      </c>
      <c r="R2" s="191">
        <f>R6-I6</f>
        <v>0</v>
      </c>
      <c r="T2" s="264">
        <v>6043819</v>
      </c>
      <c r="U2" s="335">
        <f>R2+T2</f>
        <v>6043819</v>
      </c>
      <c r="V2" s="265"/>
      <c r="Z2" s="176" t="s">
        <v>442</v>
      </c>
      <c r="AE2" s="176" t="s">
        <v>442</v>
      </c>
    </row>
    <row r="3" spans="1:45" ht="20.25" customHeight="1" thickBot="1">
      <c r="H3" s="259"/>
      <c r="I3" s="262"/>
      <c r="J3" s="262"/>
      <c r="K3" s="191">
        <f>SUM(K7:K244)/2</f>
        <v>975000</v>
      </c>
      <c r="L3" s="191">
        <f>SUM(L7:L244)/2</f>
        <v>-150000</v>
      </c>
      <c r="M3" s="191">
        <f>SUM(M7:M244)/2</f>
        <v>445174.5</v>
      </c>
      <c r="N3" s="191">
        <f>SUM(N7:N244)/2</f>
        <v>59885674.5</v>
      </c>
      <c r="O3" s="191"/>
      <c r="P3" s="191">
        <f>SUM(P7:P244)/2</f>
        <v>0</v>
      </c>
      <c r="Q3" s="191">
        <f>SUM(Q7:Q244)/2</f>
        <v>0</v>
      </c>
      <c r="R3" s="191">
        <f>SUM(R7:R244)/2</f>
        <v>59590500</v>
      </c>
      <c r="T3" s="190"/>
      <c r="U3" s="190"/>
      <c r="V3" s="178" t="s">
        <v>415</v>
      </c>
      <c r="Z3" s="179" t="str">
        <f>IF(Z6='1추일입'!X6,"OK","@@")</f>
        <v>@@</v>
      </c>
      <c r="AA3" s="192">
        <f>L6+M6-Z6-AA6</f>
        <v>26783</v>
      </c>
      <c r="AB3" s="179" t="str">
        <f>IF(COUNTIF(AB6:AB112,"검토")&gt;0,"@@","OK")</f>
        <v>@@</v>
      </c>
      <c r="AE3" s="179" t="str">
        <f>IF(AE6='1추일입'!AC6,"OK","@@")</f>
        <v>OK</v>
      </c>
      <c r="AF3" s="181">
        <f>P6+Q6-AE6-AF6</f>
        <v>0</v>
      </c>
      <c r="AG3" s="179" t="str">
        <f>IF(COUNTIF(AG6:AG112,"검토")&gt;0,"@@","OK")</f>
        <v>OK</v>
      </c>
    </row>
    <row r="4" spans="1:45" s="205" customFormat="1" ht="30" customHeight="1">
      <c r="A4" s="582" t="s">
        <v>574</v>
      </c>
      <c r="B4" s="551" t="s">
        <v>406</v>
      </c>
      <c r="C4" s="555" t="s">
        <v>407</v>
      </c>
      <c r="D4" s="560" t="s">
        <v>408</v>
      </c>
      <c r="E4" s="559" t="s">
        <v>414</v>
      </c>
      <c r="F4" s="557" t="s">
        <v>564</v>
      </c>
      <c r="G4" s="559" t="s">
        <v>565</v>
      </c>
      <c r="H4" s="585" t="s">
        <v>563</v>
      </c>
      <c r="I4" s="587" t="s">
        <v>636</v>
      </c>
      <c r="J4" s="589" t="s">
        <v>596</v>
      </c>
      <c r="K4" s="553" t="s">
        <v>637</v>
      </c>
      <c r="L4" s="562" t="s">
        <v>597</v>
      </c>
      <c r="M4" s="563"/>
      <c r="N4" s="564" t="s">
        <v>602</v>
      </c>
      <c r="O4" s="591" t="s">
        <v>612</v>
      </c>
      <c r="P4" s="566" t="s">
        <v>613</v>
      </c>
      <c r="Q4" s="584"/>
      <c r="R4" s="591" t="s">
        <v>603</v>
      </c>
      <c r="S4" s="573" t="s">
        <v>413</v>
      </c>
      <c r="T4" s="580" t="s">
        <v>611</v>
      </c>
      <c r="U4" s="580" t="s">
        <v>600</v>
      </c>
      <c r="V4" s="597" t="s">
        <v>604</v>
      </c>
      <c r="W4" s="575" t="s">
        <v>416</v>
      </c>
      <c r="Y4" s="576" t="s">
        <v>417</v>
      </c>
      <c r="Z4" s="576" t="s">
        <v>418</v>
      </c>
      <c r="AA4" s="576"/>
      <c r="AB4" s="576"/>
      <c r="AD4" s="577" t="s">
        <v>417</v>
      </c>
      <c r="AE4" s="572" t="s">
        <v>422</v>
      </c>
      <c r="AF4" s="572"/>
      <c r="AG4" s="572"/>
      <c r="AI4" s="576" t="s">
        <v>423</v>
      </c>
      <c r="AK4" s="593" t="s">
        <v>443</v>
      </c>
      <c r="AL4" s="595" t="s">
        <v>444</v>
      </c>
      <c r="AN4" s="578" t="s">
        <v>424</v>
      </c>
      <c r="AP4" s="578" t="s">
        <v>425</v>
      </c>
    </row>
    <row r="5" spans="1:45" s="205" customFormat="1" ht="29.25" customHeight="1">
      <c r="A5" s="583"/>
      <c r="B5" s="552"/>
      <c r="C5" s="556"/>
      <c r="D5" s="561"/>
      <c r="E5" s="556"/>
      <c r="F5" s="558"/>
      <c r="G5" s="568"/>
      <c r="H5" s="586"/>
      <c r="I5" s="588"/>
      <c r="J5" s="590"/>
      <c r="K5" s="554"/>
      <c r="L5" s="479" t="s">
        <v>410</v>
      </c>
      <c r="M5" s="479" t="s">
        <v>411</v>
      </c>
      <c r="N5" s="565"/>
      <c r="O5" s="592"/>
      <c r="P5" s="324" t="s">
        <v>410</v>
      </c>
      <c r="Q5" s="325" t="s">
        <v>411</v>
      </c>
      <c r="R5" s="592"/>
      <c r="S5" s="574"/>
      <c r="T5" s="581"/>
      <c r="U5" s="581"/>
      <c r="V5" s="573"/>
      <c r="W5" s="576"/>
      <c r="Y5" s="576"/>
      <c r="Z5" s="245" t="s">
        <v>419</v>
      </c>
      <c r="AA5" s="245" t="s">
        <v>420</v>
      </c>
      <c r="AB5" s="245" t="s">
        <v>421</v>
      </c>
      <c r="AD5" s="577"/>
      <c r="AE5" s="206" t="s">
        <v>419</v>
      </c>
      <c r="AF5" s="206" t="s">
        <v>420</v>
      </c>
      <c r="AG5" s="206" t="s">
        <v>421</v>
      </c>
      <c r="AI5" s="576"/>
      <c r="AK5" s="594"/>
      <c r="AL5" s="596"/>
      <c r="AN5" s="577"/>
      <c r="AP5" s="577"/>
      <c r="AR5" s="205" t="s">
        <v>616</v>
      </c>
      <c r="AS5" s="205" t="s">
        <v>617</v>
      </c>
    </row>
    <row r="6" spans="1:45" ht="60" customHeight="1">
      <c r="A6" s="243"/>
      <c r="B6" s="214" t="s">
        <v>430</v>
      </c>
      <c r="C6" s="215" t="s">
        <v>622</v>
      </c>
      <c r="D6" s="298"/>
      <c r="E6" s="299"/>
      <c r="F6" s="299"/>
      <c r="G6" s="299"/>
      <c r="H6" s="300" t="s">
        <v>601</v>
      </c>
      <c r="I6" s="286">
        <f t="shared" ref="I6:R6" si="0">SUBTOTAL(9,I7:I112)</f>
        <v>39727000</v>
      </c>
      <c r="J6" s="286">
        <f t="shared" si="0"/>
        <v>39077000</v>
      </c>
      <c r="K6" s="286">
        <f t="shared" si="0"/>
        <v>650000</v>
      </c>
      <c r="L6" s="286">
        <f t="shared" si="0"/>
        <v>-100000</v>
      </c>
      <c r="M6" s="286">
        <f t="shared" si="0"/>
        <v>296783</v>
      </c>
      <c r="N6" s="287">
        <f t="shared" si="0"/>
        <v>39923783</v>
      </c>
      <c r="O6" s="288">
        <f t="shared" si="0"/>
        <v>-196783</v>
      </c>
      <c r="P6" s="251">
        <f t="shared" si="0"/>
        <v>0</v>
      </c>
      <c r="Q6" s="332">
        <f t="shared" si="0"/>
        <v>0</v>
      </c>
      <c r="R6" s="289">
        <f t="shared" si="0"/>
        <v>39727000</v>
      </c>
      <c r="S6" s="290"/>
      <c r="T6" s="291"/>
      <c r="U6" s="328"/>
      <c r="V6" s="216"/>
      <c r="W6" s="183"/>
      <c r="Y6" s="193"/>
      <c r="Z6" s="361">
        <f>SUBTOTAL(9,Z7:Z112)</f>
        <v>0</v>
      </c>
      <c r="AA6" s="361">
        <f>SUBTOTAL(9,AA7:AA112)</f>
        <v>170000</v>
      </c>
      <c r="AB6" s="303" t="str">
        <f>IF(SUM($L6:$M6)=SUM($Z6:$AA6),"OK","검토")</f>
        <v>검토</v>
      </c>
      <c r="AC6" s="341"/>
      <c r="AD6" s="362"/>
      <c r="AE6" s="361">
        <f>SUBTOTAL(9,AE7:AE112)</f>
        <v>0</v>
      </c>
      <c r="AF6" s="361">
        <f>SUBTOTAL(9,AF7:AF112)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customHeight="1">
      <c r="A7" s="372"/>
      <c r="B7" s="255" t="s">
        <v>432</v>
      </c>
      <c r="C7" s="255"/>
      <c r="D7" s="255"/>
      <c r="E7" s="255"/>
      <c r="F7" s="255"/>
      <c r="G7" s="255"/>
      <c r="H7" s="373"/>
      <c r="I7" s="374">
        <f t="shared" ref="I7:R7" si="1">SUBTOTAL(9,I8:I17)</f>
        <v>0</v>
      </c>
      <c r="J7" s="374">
        <f t="shared" si="1"/>
        <v>0</v>
      </c>
      <c r="K7" s="374">
        <f t="shared" si="1"/>
        <v>0</v>
      </c>
      <c r="L7" s="374">
        <f t="shared" si="1"/>
        <v>0</v>
      </c>
      <c r="M7" s="374">
        <f t="shared" si="1"/>
        <v>0</v>
      </c>
      <c r="N7" s="375">
        <f t="shared" si="1"/>
        <v>0</v>
      </c>
      <c r="O7" s="376">
        <f t="shared" si="1"/>
        <v>0</v>
      </c>
      <c r="P7" s="377">
        <f t="shared" si="1"/>
        <v>0</v>
      </c>
      <c r="Q7" s="333">
        <f t="shared" si="1"/>
        <v>0</v>
      </c>
      <c r="R7" s="376">
        <f t="shared" si="1"/>
        <v>0</v>
      </c>
      <c r="S7" s="378"/>
      <c r="T7" s="379"/>
      <c r="U7" s="380"/>
      <c r="V7" s="381"/>
      <c r="W7" s="188"/>
      <c r="Y7" s="196"/>
      <c r="Z7" s="297"/>
      <c r="AA7" s="297"/>
      <c r="AB7" s="303"/>
      <c r="AC7" s="341"/>
      <c r="AD7" s="303"/>
      <c r="AE7" s="297"/>
      <c r="AF7" s="297"/>
      <c r="AG7" s="188"/>
      <c r="AI7" s="197"/>
      <c r="AK7" s="194"/>
      <c r="AL7" s="187"/>
      <c r="AN7" s="188"/>
      <c r="AP7" s="188"/>
      <c r="AR7" s="252">
        <f>SUBTOTAL(9,AR8:AR17)</f>
        <v>0</v>
      </c>
      <c r="AS7" s="253">
        <f>SUBTOTAL(9,AS8:AS17)</f>
        <v>0</v>
      </c>
    </row>
    <row r="8" spans="1:45" ht="86.25" customHeight="1">
      <c r="A8" s="301">
        <v>1</v>
      </c>
      <c r="B8" s="256" t="str">
        <f>IF(C8="","",MID($B$7,2,7))</f>
        <v/>
      </c>
      <c r="C8" s="256" t="str">
        <f>IF(D8="","",VLOOKUP(D8,구분표!$A$3:$C$223,3,))</f>
        <v/>
      </c>
      <c r="D8" s="256"/>
      <c r="E8" s="301"/>
      <c r="F8" s="301"/>
      <c r="G8" s="301"/>
      <c r="H8" s="304"/>
      <c r="I8" s="292"/>
      <c r="J8" s="292"/>
      <c r="K8" s="348">
        <f>I8-J8</f>
        <v>0</v>
      </c>
      <c r="L8" s="292"/>
      <c r="M8" s="292"/>
      <c r="N8" s="464">
        <f>I8+L8+M8</f>
        <v>0</v>
      </c>
      <c r="O8" s="382">
        <f>R8-N8</f>
        <v>0</v>
      </c>
      <c r="P8" s="383"/>
      <c r="Q8" s="334"/>
      <c r="R8" s="465">
        <f>I8+P8+Q8</f>
        <v>0</v>
      </c>
      <c r="S8" s="384" t="str">
        <f>IF(AND((N8=0),(R8&gt;0)),"O",IF(AND((L8&lt;0),(N8-R8&lt;0)),"O","X"))</f>
        <v>X</v>
      </c>
      <c r="T8" s="354"/>
      <c r="U8" s="480" t="s">
        <v>877</v>
      </c>
      <c r="V8" s="257"/>
      <c r="W8" s="188"/>
      <c r="Y8" s="196"/>
      <c r="Z8" s="297">
        <f t="shared" ref="Z8:Z67" si="2">IF($Y8&lt;&gt;"도비",IF($W8="국도비","직접입력",SUM($L8:$M8)),)</f>
        <v>0</v>
      </c>
      <c r="AA8" s="297">
        <f t="shared" ref="AA8:AA67" si="3">IF($Y8="도비",SUM($L8:$M8),IF($W8="국도비","직접입력",SUM($L8:$M8)-$Z8))</f>
        <v>0</v>
      </c>
      <c r="AB8" s="303" t="str">
        <f t="shared" ref="AB8:AB59" si="4">IF(SUM($L8:$M8)=SUM($Z8:$AA8),"OK","검토")</f>
        <v>OK</v>
      </c>
      <c r="AC8" s="341"/>
      <c r="AD8" s="302"/>
      <c r="AE8" s="297">
        <f t="shared" ref="AE8:AE67" si="5">IF($Y8&lt;&gt;"도비",IF($W8="국도비","직접입력",SUM($P8:$Q8)),)</f>
        <v>0</v>
      </c>
      <c r="AF8" s="297">
        <f t="shared" ref="AF8" si="6">IF($Y8="도비",SUM(P8:Q8),IF($W8="국도비","직접입력",SUM(P8:Q8)-AE8))</f>
        <v>0</v>
      </c>
      <c r="AG8" s="188" t="str">
        <f t="shared" ref="AG8:AG17" si="7">IF(SUM(P8:Q8)=SUM(AE8:AF8),"OK","검토")</f>
        <v>OK</v>
      </c>
      <c r="AI8" s="197" t="str">
        <f t="shared" ref="AI8:AI17" si="8">IF(W8="","",IF(W8="도비","세입없음","직접입력"))</f>
        <v/>
      </c>
      <c r="AK8" s="194" t="str">
        <f t="shared" ref="AK8:AK17" si="9">IF(AI8="","",COUNTIF($AI$7:$AI$112,AI8))</f>
        <v/>
      </c>
      <c r="AL8" s="187" t="str">
        <f t="shared" ref="AL8:AL59" si="10">IF(Y8="","",IF(AND(Y8="도비",AI8="세입없음"),"OK",IF(AND(Y8&lt;&gt;"도비",AI8&lt;&gt;""),"OK","@@")))</f>
        <v/>
      </c>
      <c r="AN8" s="188" t="str">
        <f t="array" ref="AN8">IF(D8="","",INDEX(구분표!$I$2:$I$319, MATCH(1,(구분표!$E$2:$E$319='1추일출'!C8)*(구분표!$F$2:$F$319='1추일출'!D8)*(구분표!$G$2:$G$319='1추일출'!B8),0)))</f>
        <v/>
      </c>
      <c r="AP8" s="188"/>
      <c r="AR8" s="173">
        <f t="shared" ref="AR8:AR17" si="11">IF(O8&lt;0,O8,0)</f>
        <v>0</v>
      </c>
      <c r="AS8" s="173">
        <f t="shared" ref="AS8:AS17" si="12">IF(O8&gt;0,O8,0)</f>
        <v>0</v>
      </c>
    </row>
    <row r="9" spans="1:45" ht="60" customHeight="1">
      <c r="A9" s="301">
        <f>COUNTA($C$8:C9)-COUNTBLANK($C$8:C9)</f>
        <v>0</v>
      </c>
      <c r="B9" s="256" t="str">
        <f t="shared" ref="B9:B14" si="13">IF(C9="","",MID($B$7,2,7))</f>
        <v/>
      </c>
      <c r="C9" s="256" t="str">
        <f>IF(D9="","",VLOOKUP(D9,구분표!$A$3:$C$223,3,))</f>
        <v/>
      </c>
      <c r="D9" s="256"/>
      <c r="E9" s="301"/>
      <c r="F9" s="301"/>
      <c r="G9" s="301"/>
      <c r="H9" s="304"/>
      <c r="I9" s="292"/>
      <c r="J9" s="292"/>
      <c r="K9" s="348">
        <f t="shared" ref="K9:K59" si="14">I9-J9</f>
        <v>0</v>
      </c>
      <c r="L9" s="292"/>
      <c r="M9" s="292"/>
      <c r="N9" s="464">
        <f t="shared" ref="N9:N73" si="15">I9+L9+M9</f>
        <v>0</v>
      </c>
      <c r="O9" s="382">
        <f t="shared" ref="O9:O14" si="16">R9-N9</f>
        <v>0</v>
      </c>
      <c r="P9" s="383"/>
      <c r="Q9" s="334"/>
      <c r="R9" s="465">
        <f t="shared" ref="R9:R73" si="17">I9+P9+Q9</f>
        <v>0</v>
      </c>
      <c r="S9" s="384" t="str">
        <f t="shared" ref="S9:S14" si="18">IF(AND((N9=0),(R9&gt;0)),"O",IF(AND((L9&lt;0),(N9-R9&lt;0)),"O","X"))</f>
        <v>X</v>
      </c>
      <c r="T9" s="354"/>
      <c r="U9" s="353"/>
      <c r="V9" s="257"/>
      <c r="W9" s="303"/>
      <c r="X9" s="341"/>
      <c r="Y9" s="302"/>
      <c r="Z9" s="297">
        <f t="shared" si="2"/>
        <v>0</v>
      </c>
      <c r="AA9" s="297">
        <f t="shared" si="3"/>
        <v>0</v>
      </c>
      <c r="AB9" s="303" t="str">
        <f t="shared" si="4"/>
        <v>OK</v>
      </c>
      <c r="AC9" s="341"/>
      <c r="AD9" s="302"/>
      <c r="AE9" s="297">
        <f t="shared" si="5"/>
        <v>0</v>
      </c>
      <c r="AF9" s="297">
        <f t="shared" ref="AF9:AF17" si="19">IF($Y9="도비",SUM(P9:Q9),IF($W9="국도비","직접입력",SUM(P9:Q9)-AE9))</f>
        <v>0</v>
      </c>
      <c r="AG9" s="303" t="str">
        <f t="shared" si="7"/>
        <v>OK</v>
      </c>
      <c r="AH9" s="341"/>
      <c r="AI9" s="197" t="str">
        <f t="shared" si="8"/>
        <v/>
      </c>
      <c r="AJ9" s="341"/>
      <c r="AK9" s="307" t="str">
        <f t="shared" si="9"/>
        <v/>
      </c>
      <c r="AL9" s="293" t="str">
        <f t="shared" si="10"/>
        <v/>
      </c>
      <c r="AM9" s="341"/>
      <c r="AN9" s="303" t="str">
        <f t="array" ref="AN9">IF(D9="","",INDEX(구분표!$I$2:$I$319, MATCH(1,(구분표!$E$2:$E$319='1추일출'!C9)*(구분표!$F$2:$F$319='1추일출'!D9)*(구분표!$G$2:$G$319='1추일출'!B9),0)))</f>
        <v/>
      </c>
      <c r="AO9" s="341"/>
      <c r="AP9" s="303"/>
      <c r="AQ9" s="341"/>
      <c r="AR9" s="173">
        <f t="shared" si="11"/>
        <v>0</v>
      </c>
      <c r="AS9" s="173">
        <f t="shared" si="12"/>
        <v>0</v>
      </c>
    </row>
    <row r="10" spans="1:45" ht="60" customHeight="1">
      <c r="A10" s="301">
        <f>COUNTA($C$8:C10)-COUNTBLANK($C$8:C10)</f>
        <v>0</v>
      </c>
      <c r="B10" s="256" t="str">
        <f>IF(C10="","",MID($B$7,2,7))</f>
        <v/>
      </c>
      <c r="C10" s="256" t="str">
        <f>IF(D10="","",VLOOKUP(D10,구분표!$A$3:$C$223,3,))</f>
        <v/>
      </c>
      <c r="D10" s="352"/>
      <c r="E10" s="301"/>
      <c r="F10" s="301"/>
      <c r="G10" s="301"/>
      <c r="H10" s="304"/>
      <c r="I10" s="292"/>
      <c r="J10" s="292"/>
      <c r="K10" s="348">
        <f>I10-J10</f>
        <v>0</v>
      </c>
      <c r="L10" s="292"/>
      <c r="M10" s="292"/>
      <c r="N10" s="464">
        <f>I10+L10+M10</f>
        <v>0</v>
      </c>
      <c r="O10" s="382">
        <f t="shared" si="16"/>
        <v>0</v>
      </c>
      <c r="P10" s="383"/>
      <c r="Q10" s="334"/>
      <c r="R10" s="465">
        <f>I10+P10+Q10</f>
        <v>0</v>
      </c>
      <c r="S10" s="384" t="str">
        <f>IF(AND((N10=0),(R10&gt;0)),"O",IF(AND((L10&lt;0),(N10-R10&lt;0)),"O","X"))</f>
        <v>X</v>
      </c>
      <c r="T10" s="354"/>
      <c r="U10" s="353"/>
      <c r="V10" s="257"/>
      <c r="W10" s="196"/>
      <c r="X10" s="261"/>
      <c r="Y10" s="196"/>
      <c r="Z10" s="297">
        <f t="shared" si="2"/>
        <v>0</v>
      </c>
      <c r="AA10" s="297">
        <f t="shared" si="3"/>
        <v>0</v>
      </c>
      <c r="AB10" s="303" t="str">
        <f t="shared" si="4"/>
        <v>OK</v>
      </c>
      <c r="AC10" s="341"/>
      <c r="AD10" s="302"/>
      <c r="AE10" s="297">
        <f t="shared" si="5"/>
        <v>0</v>
      </c>
      <c r="AF10" s="297">
        <f t="shared" si="19"/>
        <v>0</v>
      </c>
      <c r="AG10" s="188" t="str">
        <f t="shared" si="7"/>
        <v>OK</v>
      </c>
      <c r="AI10" s="197" t="str">
        <f t="shared" si="8"/>
        <v/>
      </c>
      <c r="AK10" s="194" t="str">
        <f t="shared" si="9"/>
        <v/>
      </c>
      <c r="AL10" s="187" t="str">
        <f>IF(Y10="","",IF(AND(Y10="도비",AI10="세입없음"),"OK",IF(AND(Y10&lt;&gt;"도비",AI10&lt;&gt;""),"OK","@@")))</f>
        <v/>
      </c>
      <c r="AN10" s="188" t="str">
        <f t="array" ref="AN10">IF(D10="","",INDEX(구분표!$I$2:$I$319, MATCH(1,(구분표!$E$2:$E$319='1추일출'!C10)*(구분표!$F$2:$F$319='1추일출'!D10)*(구분표!$G$2:$G$319='1추일출'!B10),0)))</f>
        <v/>
      </c>
      <c r="AP10" s="188"/>
      <c r="AR10" s="173">
        <f t="shared" si="11"/>
        <v>0</v>
      </c>
      <c r="AS10" s="173">
        <f t="shared" si="12"/>
        <v>0</v>
      </c>
    </row>
    <row r="11" spans="1:45" ht="60" customHeight="1">
      <c r="A11" s="301">
        <f>COUNTA($C$8:C11)-COUNTBLANK($C$8:C11)</f>
        <v>0</v>
      </c>
      <c r="B11" s="256" t="str">
        <f>IF(C11="","",MID($B$7,2,7))</f>
        <v/>
      </c>
      <c r="C11" s="256" t="str">
        <f>IF(D11="","",VLOOKUP(D11,구분표!$A$3:$C$223,3,))</f>
        <v/>
      </c>
      <c r="D11" s="352"/>
      <c r="E11" s="301"/>
      <c r="F11" s="301"/>
      <c r="G11" s="301"/>
      <c r="H11" s="304"/>
      <c r="I11" s="292"/>
      <c r="J11" s="292"/>
      <c r="K11" s="348">
        <f>I11-J11</f>
        <v>0</v>
      </c>
      <c r="L11" s="292"/>
      <c r="M11" s="292"/>
      <c r="N11" s="464">
        <f>I11+L11+M11</f>
        <v>0</v>
      </c>
      <c r="O11" s="382">
        <f t="shared" si="16"/>
        <v>0</v>
      </c>
      <c r="P11" s="383"/>
      <c r="Q11" s="334"/>
      <c r="R11" s="465">
        <f>I11+P11+Q11</f>
        <v>0</v>
      </c>
      <c r="S11" s="384" t="str">
        <f>IF(AND((N11=0),(R11&gt;0)),"O",IF(AND((L11&lt;0),(N11-R11&lt;0)),"O","X"))</f>
        <v>X</v>
      </c>
      <c r="T11" s="354"/>
      <c r="U11" s="353"/>
      <c r="V11" s="257"/>
      <c r="W11" s="196"/>
      <c r="X11" s="261"/>
      <c r="Y11" s="196"/>
      <c r="Z11" s="297">
        <f t="shared" si="2"/>
        <v>0</v>
      </c>
      <c r="AA11" s="297">
        <f t="shared" si="3"/>
        <v>0</v>
      </c>
      <c r="AB11" s="303" t="str">
        <f t="shared" si="4"/>
        <v>OK</v>
      </c>
      <c r="AC11" s="341"/>
      <c r="AD11" s="302"/>
      <c r="AE11" s="297">
        <f t="shared" si="5"/>
        <v>0</v>
      </c>
      <c r="AF11" s="297">
        <f t="shared" si="19"/>
        <v>0</v>
      </c>
      <c r="AG11" s="188" t="str">
        <f t="shared" si="7"/>
        <v>OK</v>
      </c>
      <c r="AI11" s="197" t="str">
        <f t="shared" si="8"/>
        <v/>
      </c>
      <c r="AK11" s="231" t="str">
        <f t="shared" si="9"/>
        <v/>
      </c>
      <c r="AL11" s="187" t="str">
        <f>IF(Y11="","",IF(AND(Y11="도비",AI11="세입없음"),"OK",IF(AND(Y11&lt;&gt;"도비",AI11&lt;&gt;""),"OK","@@")))</f>
        <v/>
      </c>
      <c r="AN11" s="188" t="str">
        <f t="array" ref="AN11">IF(D11="","",INDEX(구분표!$I$2:$I$319, MATCH(1,(구분표!$E$2:$E$319='1추일출'!C11)*(구분표!$F$2:$F$319='1추일출'!D11)*(구분표!$G$2:$G$319='1추일출'!B11),0)))</f>
        <v/>
      </c>
      <c r="AP11" s="188"/>
      <c r="AR11" s="173">
        <f t="shared" si="11"/>
        <v>0</v>
      </c>
      <c r="AS11" s="173">
        <f t="shared" si="12"/>
        <v>0</v>
      </c>
    </row>
    <row r="12" spans="1:45" ht="60" customHeight="1">
      <c r="A12" s="301">
        <f>COUNTA($C$8:C12)-COUNTBLANK($C$8:C12)</f>
        <v>0</v>
      </c>
      <c r="B12" s="256" t="str">
        <f t="shared" si="13"/>
        <v/>
      </c>
      <c r="C12" s="256" t="str">
        <f>IF(D12="","",VLOOKUP(D12,구분표!$A$3:$C$223,3,))</f>
        <v/>
      </c>
      <c r="D12" s="256"/>
      <c r="E12" s="301"/>
      <c r="F12" s="301"/>
      <c r="G12" s="301"/>
      <c r="H12" s="304"/>
      <c r="I12" s="292"/>
      <c r="J12" s="292"/>
      <c r="K12" s="348">
        <f>I12-J12</f>
        <v>0</v>
      </c>
      <c r="L12" s="292"/>
      <c r="M12" s="292"/>
      <c r="N12" s="464">
        <f>I12+L12+M12</f>
        <v>0</v>
      </c>
      <c r="O12" s="382">
        <f t="shared" si="16"/>
        <v>0</v>
      </c>
      <c r="P12" s="383"/>
      <c r="Q12" s="334"/>
      <c r="R12" s="465">
        <f t="shared" si="17"/>
        <v>0</v>
      </c>
      <c r="S12" s="384" t="str">
        <f t="shared" si="18"/>
        <v>X</v>
      </c>
      <c r="T12" s="354"/>
      <c r="U12" s="353"/>
      <c r="V12" s="257"/>
      <c r="W12" s="188"/>
      <c r="Y12" s="196"/>
      <c r="Z12" s="297">
        <f t="shared" si="2"/>
        <v>0</v>
      </c>
      <c r="AA12" s="297">
        <f t="shared" si="3"/>
        <v>0</v>
      </c>
      <c r="AB12" s="303" t="str">
        <f t="shared" si="4"/>
        <v>OK</v>
      </c>
      <c r="AC12" s="341"/>
      <c r="AD12" s="302"/>
      <c r="AE12" s="297">
        <f t="shared" si="5"/>
        <v>0</v>
      </c>
      <c r="AF12" s="297">
        <f t="shared" si="19"/>
        <v>0</v>
      </c>
      <c r="AG12" s="188" t="str">
        <f t="shared" si="7"/>
        <v>OK</v>
      </c>
      <c r="AI12" s="197" t="str">
        <f t="shared" si="8"/>
        <v/>
      </c>
      <c r="AK12" s="194" t="str">
        <f t="shared" si="9"/>
        <v/>
      </c>
      <c r="AL12" s="187" t="str">
        <f t="shared" si="10"/>
        <v/>
      </c>
      <c r="AN12" s="188" t="str">
        <f t="array" ref="AN12">IF(D12="","",INDEX(구분표!$I$2:$I$319, MATCH(1,(구분표!$E$2:$E$319='1추일출'!C12)*(구분표!$F$2:$F$319='1추일출'!D12)*(구분표!$G$2:$G$319='1추일출'!B12),0)))</f>
        <v/>
      </c>
      <c r="AP12" s="188"/>
      <c r="AR12" s="173">
        <f t="shared" si="11"/>
        <v>0</v>
      </c>
      <c r="AS12" s="173">
        <f t="shared" si="12"/>
        <v>0</v>
      </c>
    </row>
    <row r="13" spans="1:45" ht="60" customHeight="1">
      <c r="A13" s="301">
        <f>COUNTA($C$8:C13)-COUNTBLANK($C$8:C13)</f>
        <v>0</v>
      </c>
      <c r="B13" s="256" t="str">
        <f t="shared" si="13"/>
        <v/>
      </c>
      <c r="C13" s="256" t="str">
        <f>IF(D13="","",VLOOKUP(D13,구분표!$A$3:$C$223,3,))</f>
        <v/>
      </c>
      <c r="D13" s="256"/>
      <c r="E13" s="301"/>
      <c r="F13" s="301"/>
      <c r="G13" s="301"/>
      <c r="H13" s="304"/>
      <c r="I13" s="292"/>
      <c r="J13" s="292"/>
      <c r="K13" s="348">
        <f t="shared" ref="K13" si="20">I13-J13</f>
        <v>0</v>
      </c>
      <c r="L13" s="292"/>
      <c r="M13" s="292"/>
      <c r="N13" s="464">
        <f t="shared" ref="N13" si="21">I13+L13+M13</f>
        <v>0</v>
      </c>
      <c r="O13" s="382">
        <f t="shared" si="16"/>
        <v>0</v>
      </c>
      <c r="P13" s="383"/>
      <c r="Q13" s="334"/>
      <c r="R13" s="465">
        <f t="shared" ref="R13" si="22">I13+P13+Q13</f>
        <v>0</v>
      </c>
      <c r="S13" s="384" t="str">
        <f t="shared" si="18"/>
        <v>X</v>
      </c>
      <c r="T13" s="354"/>
      <c r="U13" s="353"/>
      <c r="V13" s="257"/>
      <c r="W13" s="188"/>
      <c r="Y13" s="196"/>
      <c r="Z13" s="297">
        <f t="shared" si="2"/>
        <v>0</v>
      </c>
      <c r="AA13" s="297">
        <f t="shared" si="3"/>
        <v>0</v>
      </c>
      <c r="AB13" s="303" t="str">
        <f t="shared" si="4"/>
        <v>OK</v>
      </c>
      <c r="AC13" s="341"/>
      <c r="AD13" s="302"/>
      <c r="AE13" s="297">
        <f t="shared" si="5"/>
        <v>0</v>
      </c>
      <c r="AF13" s="297">
        <f t="shared" si="19"/>
        <v>0</v>
      </c>
      <c r="AG13" s="188" t="str">
        <f t="shared" si="7"/>
        <v>OK</v>
      </c>
      <c r="AI13" s="197" t="str">
        <f t="shared" si="8"/>
        <v/>
      </c>
      <c r="AK13" s="231" t="str">
        <f t="shared" si="9"/>
        <v/>
      </c>
      <c r="AL13" s="187" t="str">
        <f t="shared" ref="AL13" si="23">IF(Y13="","",IF(AND(Y13="도비",AI13="세입없음"),"OK",IF(AND(Y13&lt;&gt;"도비",AI13&lt;&gt;""),"OK","@@")))</f>
        <v/>
      </c>
      <c r="AN13" s="188" t="str">
        <f t="array" ref="AN13">IF(D13="","",INDEX(구분표!$I$2:$I$319, MATCH(1,(구분표!$E$2:$E$319='1추일출'!C13)*(구분표!$F$2:$F$319='1추일출'!D13)*(구분표!$G$2:$G$319='1추일출'!B13),0)))</f>
        <v/>
      </c>
      <c r="AP13" s="188"/>
      <c r="AR13" s="173">
        <f t="shared" si="11"/>
        <v>0</v>
      </c>
      <c r="AS13" s="173">
        <f t="shared" si="12"/>
        <v>0</v>
      </c>
    </row>
    <row r="14" spans="1:45" ht="60" customHeight="1">
      <c r="A14" s="301">
        <f>COUNTA($C$8:C14)-COUNTBLANK($C$8:C14)</f>
        <v>0</v>
      </c>
      <c r="B14" s="256" t="str">
        <f t="shared" si="13"/>
        <v/>
      </c>
      <c r="C14" s="256" t="str">
        <f>IF(D14="","",VLOOKUP(D14,구분표!$A$3:$C$223,3,))</f>
        <v/>
      </c>
      <c r="D14" s="352"/>
      <c r="E14" s="301"/>
      <c r="F14" s="301"/>
      <c r="G14" s="301"/>
      <c r="H14" s="304"/>
      <c r="I14" s="292"/>
      <c r="J14" s="292"/>
      <c r="K14" s="348">
        <f t="shared" ref="K14" si="24">I14-J14</f>
        <v>0</v>
      </c>
      <c r="L14" s="292"/>
      <c r="M14" s="292"/>
      <c r="N14" s="464">
        <f t="shared" ref="N14" si="25">I14+L14+M14</f>
        <v>0</v>
      </c>
      <c r="O14" s="382">
        <f t="shared" si="16"/>
        <v>0</v>
      </c>
      <c r="P14" s="383"/>
      <c r="Q14" s="334"/>
      <c r="R14" s="465">
        <f>I14+P14+Q14</f>
        <v>0</v>
      </c>
      <c r="S14" s="384" t="str">
        <f t="shared" si="18"/>
        <v>X</v>
      </c>
      <c r="T14" s="354"/>
      <c r="U14" s="353"/>
      <c r="V14" s="257"/>
      <c r="W14" s="303"/>
      <c r="X14" s="341"/>
      <c r="Y14" s="302"/>
      <c r="Z14" s="297">
        <f t="shared" si="2"/>
        <v>0</v>
      </c>
      <c r="AA14" s="297">
        <f t="shared" si="3"/>
        <v>0</v>
      </c>
      <c r="AB14" s="303" t="str">
        <f t="shared" si="4"/>
        <v>OK</v>
      </c>
      <c r="AC14" s="341"/>
      <c r="AD14" s="302"/>
      <c r="AE14" s="297">
        <f t="shared" si="5"/>
        <v>0</v>
      </c>
      <c r="AF14" s="297">
        <f t="shared" si="19"/>
        <v>0</v>
      </c>
      <c r="AG14" s="303" t="str">
        <f t="shared" si="7"/>
        <v>OK</v>
      </c>
      <c r="AH14" s="341"/>
      <c r="AI14" s="197" t="str">
        <f t="shared" si="8"/>
        <v/>
      </c>
      <c r="AJ14" s="341"/>
      <c r="AK14" s="307" t="str">
        <f t="shared" si="9"/>
        <v/>
      </c>
      <c r="AL14" s="293" t="str">
        <f t="shared" ref="AL14" si="26">IF(Y14="","",IF(AND(Y14="도비",AI14="세입없음"),"OK",IF(AND(Y14&lt;&gt;"도비",AI14&lt;&gt;""),"OK","@@")))</f>
        <v/>
      </c>
      <c r="AM14" s="341"/>
      <c r="AN14" s="303" t="str">
        <f t="array" ref="AN14">IF(D14="","",INDEX(구분표!$I$2:$I$319, MATCH(1,(구분표!$E$2:$E$319='1추일출'!C14)*(구분표!$F$2:$F$319='1추일출'!D14)*(구분표!$G$2:$G$319='1추일출'!B14),0)))</f>
        <v/>
      </c>
      <c r="AO14" s="341"/>
      <c r="AP14" s="303"/>
      <c r="AQ14" s="341"/>
      <c r="AR14" s="173">
        <f t="shared" si="11"/>
        <v>0</v>
      </c>
      <c r="AS14" s="173">
        <f t="shared" si="12"/>
        <v>0</v>
      </c>
    </row>
    <row r="15" spans="1:45" ht="60" customHeight="1">
      <c r="A15" s="301">
        <f>COUNTA($C$8:C15)-COUNTBLANK($C$8:C15)</f>
        <v>0</v>
      </c>
      <c r="B15" s="256" t="str">
        <f t="shared" ref="B15:B16" si="27">IF(C15="","",MID($B$7,2,7))</f>
        <v/>
      </c>
      <c r="C15" s="256" t="str">
        <f>IF(D15="","",VLOOKUP(D15,구분표!$A$3:$C$223,3,))</f>
        <v/>
      </c>
      <c r="D15" s="352"/>
      <c r="E15" s="301"/>
      <c r="F15" s="301"/>
      <c r="G15" s="301"/>
      <c r="H15" s="304"/>
      <c r="I15" s="292"/>
      <c r="J15" s="292"/>
      <c r="K15" s="348">
        <f t="shared" ref="K15:K16" si="28">I15-J15</f>
        <v>0</v>
      </c>
      <c r="L15" s="292"/>
      <c r="M15" s="292"/>
      <c r="N15" s="464">
        <f t="shared" ref="N15:N16" si="29">I15+L15+M15</f>
        <v>0</v>
      </c>
      <c r="O15" s="382">
        <f t="shared" ref="O15:O16" si="30">R15-N15</f>
        <v>0</v>
      </c>
      <c r="P15" s="383"/>
      <c r="Q15" s="334"/>
      <c r="R15" s="465">
        <f>I15+P15+Q15</f>
        <v>0</v>
      </c>
      <c r="S15" s="384" t="str">
        <f t="shared" ref="S15:S16" si="31">IF(AND((N15=0),(R15&gt;0)),"O",IF(AND((L15&lt;0),(N15-R15&lt;0)),"O","X"))</f>
        <v>X</v>
      </c>
      <c r="T15" s="354"/>
      <c r="U15" s="353"/>
      <c r="V15" s="257"/>
      <c r="W15" s="303"/>
      <c r="X15" s="341"/>
      <c r="Y15" s="302"/>
      <c r="Z15" s="297">
        <f t="shared" si="2"/>
        <v>0</v>
      </c>
      <c r="AA15" s="297">
        <f t="shared" si="3"/>
        <v>0</v>
      </c>
      <c r="AB15" s="303" t="str">
        <f t="shared" si="4"/>
        <v>OK</v>
      </c>
      <c r="AC15" s="341"/>
      <c r="AD15" s="302"/>
      <c r="AE15" s="297">
        <f t="shared" si="5"/>
        <v>0</v>
      </c>
      <c r="AF15" s="297">
        <f t="shared" si="19"/>
        <v>0</v>
      </c>
      <c r="AG15" s="303" t="str">
        <f t="shared" si="7"/>
        <v>OK</v>
      </c>
      <c r="AH15" s="341"/>
      <c r="AI15" s="197" t="str">
        <f t="shared" si="8"/>
        <v/>
      </c>
      <c r="AJ15" s="341"/>
      <c r="AK15" s="307" t="str">
        <f t="shared" si="9"/>
        <v/>
      </c>
      <c r="AL15" s="293" t="str">
        <f t="shared" ref="AL15:AL16" si="32">IF(Y15="","",IF(AND(Y15="도비",AI15="세입없음"),"OK",IF(AND(Y15&lt;&gt;"도비",AI15&lt;&gt;""),"OK","@@")))</f>
        <v/>
      </c>
      <c r="AM15" s="341"/>
      <c r="AN15" s="303" t="str">
        <f t="array" ref="AN15">IF(D15="","",INDEX(구분표!$I$2:$I$319, MATCH(1,(구분표!$E$2:$E$319='1추일출'!C15)*(구분표!$F$2:$F$319='1추일출'!D15)*(구분표!$G$2:$G$319='1추일출'!B15),0)))</f>
        <v/>
      </c>
      <c r="AO15" s="341"/>
      <c r="AP15" s="303"/>
      <c r="AQ15" s="341"/>
      <c r="AR15" s="173">
        <f t="shared" si="11"/>
        <v>0</v>
      </c>
      <c r="AS15" s="173">
        <f t="shared" si="12"/>
        <v>0</v>
      </c>
    </row>
    <row r="16" spans="1:45" ht="60" customHeight="1">
      <c r="A16" s="301">
        <f>COUNTA($C$8:C16)-COUNTBLANK($C$8:C16)</f>
        <v>0</v>
      </c>
      <c r="B16" s="256" t="str">
        <f t="shared" si="27"/>
        <v/>
      </c>
      <c r="C16" s="256" t="str">
        <f>IF(D16="","",VLOOKUP(D16,구분표!$A$3:$C$223,3,))</f>
        <v/>
      </c>
      <c r="D16" s="352"/>
      <c r="E16" s="301"/>
      <c r="F16" s="301"/>
      <c r="G16" s="301"/>
      <c r="H16" s="304"/>
      <c r="I16" s="292"/>
      <c r="J16" s="292"/>
      <c r="K16" s="348">
        <f t="shared" si="28"/>
        <v>0</v>
      </c>
      <c r="L16" s="292"/>
      <c r="M16" s="292"/>
      <c r="N16" s="464">
        <f t="shared" si="29"/>
        <v>0</v>
      </c>
      <c r="O16" s="382">
        <f t="shared" si="30"/>
        <v>0</v>
      </c>
      <c r="P16" s="383"/>
      <c r="Q16" s="334"/>
      <c r="R16" s="465">
        <f>I16+P16+Q16</f>
        <v>0</v>
      </c>
      <c r="S16" s="384" t="str">
        <f t="shared" si="31"/>
        <v>X</v>
      </c>
      <c r="T16" s="354"/>
      <c r="U16" s="353"/>
      <c r="V16" s="257"/>
      <c r="W16" s="303"/>
      <c r="X16" s="341"/>
      <c r="Y16" s="302"/>
      <c r="Z16" s="297">
        <f t="shared" si="2"/>
        <v>0</v>
      </c>
      <c r="AA16" s="297">
        <f t="shared" si="3"/>
        <v>0</v>
      </c>
      <c r="AB16" s="303" t="str">
        <f t="shared" si="4"/>
        <v>OK</v>
      </c>
      <c r="AC16" s="341"/>
      <c r="AD16" s="302"/>
      <c r="AE16" s="297">
        <f t="shared" si="5"/>
        <v>0</v>
      </c>
      <c r="AF16" s="297">
        <f t="shared" si="19"/>
        <v>0</v>
      </c>
      <c r="AG16" s="303" t="str">
        <f t="shared" si="7"/>
        <v>OK</v>
      </c>
      <c r="AH16" s="341"/>
      <c r="AI16" s="197" t="str">
        <f t="shared" si="8"/>
        <v/>
      </c>
      <c r="AJ16" s="341"/>
      <c r="AK16" s="307" t="str">
        <f t="shared" si="9"/>
        <v/>
      </c>
      <c r="AL16" s="293" t="str">
        <f t="shared" si="32"/>
        <v/>
      </c>
      <c r="AM16" s="341"/>
      <c r="AN16" s="303" t="str">
        <f t="array" ref="AN16">IF(D16="","",INDEX(구분표!$I$2:$I$319, MATCH(1,(구분표!$E$2:$E$319='1추일출'!C16)*(구분표!$F$2:$F$319='1추일출'!D16)*(구분표!$G$2:$G$319='1추일출'!B16),0)))</f>
        <v/>
      </c>
      <c r="AO16" s="341"/>
      <c r="AP16" s="303"/>
      <c r="AQ16" s="341"/>
      <c r="AR16" s="173">
        <f t="shared" si="11"/>
        <v>0</v>
      </c>
      <c r="AS16" s="173">
        <f t="shared" si="12"/>
        <v>0</v>
      </c>
    </row>
    <row r="17" spans="1:46" ht="60" customHeight="1">
      <c r="A17" s="301">
        <f>COUNTA($C$8:C17)-COUNTBLANK($C$8:C17)</f>
        <v>0</v>
      </c>
      <c r="B17" s="256" t="str">
        <f t="shared" ref="B17" si="33">IF(C17="","",MID($B$7,2,7))</f>
        <v/>
      </c>
      <c r="C17" s="256" t="str">
        <f>IF(D17="","",VLOOKUP(D17,구분표!$A$3:$C$223,3,))</f>
        <v/>
      </c>
      <c r="D17" s="352"/>
      <c r="E17" s="301"/>
      <c r="F17" s="301"/>
      <c r="G17" s="301"/>
      <c r="H17" s="304"/>
      <c r="I17" s="292"/>
      <c r="J17" s="292"/>
      <c r="K17" s="348">
        <f t="shared" ref="K17" si="34">I17-J17</f>
        <v>0</v>
      </c>
      <c r="L17" s="292"/>
      <c r="M17" s="292"/>
      <c r="N17" s="464">
        <f t="shared" ref="N17" si="35">I17+L17+M17</f>
        <v>0</v>
      </c>
      <c r="O17" s="382">
        <f t="shared" ref="O17" si="36">R17-N17</f>
        <v>0</v>
      </c>
      <c r="P17" s="383"/>
      <c r="Q17" s="334"/>
      <c r="R17" s="465">
        <f>I17+P17+Q17</f>
        <v>0</v>
      </c>
      <c r="S17" s="384" t="str">
        <f t="shared" ref="S17" si="37">IF(AND((N17=0),(R17&gt;0)),"O",IF(AND((L17&lt;0),(N17-R17&lt;0)),"O","X"))</f>
        <v>X</v>
      </c>
      <c r="T17" s="354"/>
      <c r="U17" s="353"/>
      <c r="V17" s="257"/>
      <c r="W17" s="303"/>
      <c r="X17" s="341"/>
      <c r="Y17" s="302"/>
      <c r="Z17" s="297">
        <f t="shared" si="2"/>
        <v>0</v>
      </c>
      <c r="AA17" s="297">
        <f t="shared" si="3"/>
        <v>0</v>
      </c>
      <c r="AB17" s="303" t="str">
        <f t="shared" si="4"/>
        <v>OK</v>
      </c>
      <c r="AC17" s="341"/>
      <c r="AD17" s="302"/>
      <c r="AE17" s="297">
        <f t="shared" si="5"/>
        <v>0</v>
      </c>
      <c r="AF17" s="297">
        <f t="shared" si="19"/>
        <v>0</v>
      </c>
      <c r="AG17" s="303" t="str">
        <f t="shared" si="7"/>
        <v>OK</v>
      </c>
      <c r="AH17" s="341"/>
      <c r="AI17" s="197" t="str">
        <f t="shared" si="8"/>
        <v/>
      </c>
      <c r="AJ17" s="341"/>
      <c r="AK17" s="307" t="str">
        <f t="shared" si="9"/>
        <v/>
      </c>
      <c r="AL17" s="293" t="str">
        <f t="shared" ref="AL17" si="38">IF(Y17="","",IF(AND(Y17="도비",AI17="세입없음"),"OK",IF(AND(Y17&lt;&gt;"도비",AI17&lt;&gt;""),"OK","@@")))</f>
        <v/>
      </c>
      <c r="AM17" s="341"/>
      <c r="AN17" s="303" t="str">
        <f t="array" ref="AN17">IF(D17="","",INDEX(구분표!$I$2:$I$319, MATCH(1,(구분표!$E$2:$E$319='1추일출'!C17)*(구분표!$F$2:$F$319='1추일출'!D17)*(구분표!$G$2:$G$319='1추일출'!B17),0)))</f>
        <v/>
      </c>
      <c r="AO17" s="341"/>
      <c r="AP17" s="303"/>
      <c r="AQ17" s="341"/>
      <c r="AR17" s="173">
        <f t="shared" si="11"/>
        <v>0</v>
      </c>
      <c r="AS17" s="173">
        <f t="shared" si="12"/>
        <v>0</v>
      </c>
    </row>
    <row r="18" spans="1:46" ht="60" customHeight="1">
      <c r="A18" s="372"/>
      <c r="B18" s="255" t="s">
        <v>433</v>
      </c>
      <c r="C18" s="255"/>
      <c r="D18" s="255"/>
      <c r="E18" s="255"/>
      <c r="F18" s="255"/>
      <c r="G18" s="255"/>
      <c r="H18" s="385"/>
      <c r="I18" s="374">
        <f t="shared" ref="I18:R18" si="39">SUBTOTAL(9,I19:I28)</f>
        <v>0</v>
      </c>
      <c r="J18" s="374">
        <f t="shared" si="39"/>
        <v>0</v>
      </c>
      <c r="K18" s="374">
        <f t="shared" si="39"/>
        <v>0</v>
      </c>
      <c r="L18" s="374">
        <f t="shared" si="39"/>
        <v>0</v>
      </c>
      <c r="M18" s="374">
        <f t="shared" si="39"/>
        <v>0</v>
      </c>
      <c r="N18" s="375">
        <f t="shared" si="39"/>
        <v>0</v>
      </c>
      <c r="O18" s="376">
        <f t="shared" si="39"/>
        <v>0</v>
      </c>
      <c r="P18" s="377">
        <f t="shared" si="39"/>
        <v>0</v>
      </c>
      <c r="Q18" s="333">
        <f t="shared" si="39"/>
        <v>0</v>
      </c>
      <c r="R18" s="376">
        <f t="shared" si="39"/>
        <v>0</v>
      </c>
      <c r="S18" s="378"/>
      <c r="T18" s="379"/>
      <c r="U18" s="380"/>
      <c r="V18" s="381"/>
      <c r="W18" s="188"/>
      <c r="Y18" s="196"/>
      <c r="Z18" s="297"/>
      <c r="AA18" s="297"/>
      <c r="AB18" s="303"/>
      <c r="AC18" s="341"/>
      <c r="AD18" s="302"/>
      <c r="AE18" s="297"/>
      <c r="AF18" s="297"/>
      <c r="AG18" s="188"/>
      <c r="AI18" s="197"/>
      <c r="AK18" s="194"/>
      <c r="AL18" s="187"/>
      <c r="AN18" s="188"/>
      <c r="AP18" s="188"/>
      <c r="AR18" s="252">
        <f>SUBTOTAL(9,AR19:AR28)</f>
        <v>0</v>
      </c>
      <c r="AS18" s="253">
        <f>SUBTOTAL(9,AS19:AS28)</f>
        <v>0</v>
      </c>
    </row>
    <row r="19" spans="1:46" ht="60" customHeight="1">
      <c r="A19" s="301">
        <f>COUNTA($C$8:C19)-COUNTBLANK($C$8:C19)+1</f>
        <v>0</v>
      </c>
      <c r="B19" s="256" t="str">
        <f t="shared" ref="B19:B24" si="40">IF(C19="","",MID($B$18,2,7))</f>
        <v/>
      </c>
      <c r="C19" s="256" t="str">
        <f>IF(D19="","",VLOOKUP(D19,구분표!$A$3:$C$223,3,))</f>
        <v/>
      </c>
      <c r="D19" s="256"/>
      <c r="E19" s="301"/>
      <c r="F19" s="301"/>
      <c r="G19" s="301"/>
      <c r="H19" s="304"/>
      <c r="I19" s="292"/>
      <c r="J19" s="292"/>
      <c r="K19" s="348">
        <f>I19-J19</f>
        <v>0</v>
      </c>
      <c r="L19" s="292"/>
      <c r="M19" s="292"/>
      <c r="N19" s="464">
        <f>I19+L19+M19</f>
        <v>0</v>
      </c>
      <c r="O19" s="382">
        <f t="shared" ref="O19:O24" si="41">R19-N19</f>
        <v>0</v>
      </c>
      <c r="P19" s="383"/>
      <c r="Q19" s="334"/>
      <c r="R19" s="465">
        <f>I19+P19+Q19</f>
        <v>0</v>
      </c>
      <c r="S19" s="384" t="str">
        <f t="shared" ref="S19:S38" si="42">IF(AND((N19=0),(R19&gt;0)),"O",IF(AND((L19&lt;0),(N19-R19&lt;0)),"O","X"))</f>
        <v>X</v>
      </c>
      <c r="T19" s="354"/>
      <c r="U19" s="353"/>
      <c r="V19" s="257"/>
      <c r="W19" s="303"/>
      <c r="X19" s="341"/>
      <c r="Y19" s="302"/>
      <c r="Z19" s="297">
        <f t="shared" si="2"/>
        <v>0</v>
      </c>
      <c r="AA19" s="297">
        <f t="shared" si="3"/>
        <v>0</v>
      </c>
      <c r="AB19" s="303" t="str">
        <f t="shared" si="4"/>
        <v>OK</v>
      </c>
      <c r="AC19" s="341"/>
      <c r="AD19" s="302"/>
      <c r="AE19" s="297">
        <f t="shared" si="5"/>
        <v>0</v>
      </c>
      <c r="AF19" s="297">
        <f t="shared" ref="AF19" si="43">IF($Y19="도비",SUM(P19:Q19),IF($W19="국도비","직접입력",SUM(P19:Q19)-AE19))</f>
        <v>0</v>
      </c>
      <c r="AG19" s="303" t="str">
        <f t="shared" ref="AG19" si="44">IF(SUM(P19:Q19)=SUM(AE19:AF19),"OK","검토")</f>
        <v>OK</v>
      </c>
      <c r="AH19" s="341"/>
      <c r="AI19" s="197" t="str">
        <f t="shared" ref="AI19:AI28" si="45">IF(W19="","",IF(W19="도비","세입없음","직접입력"))</f>
        <v/>
      </c>
      <c r="AK19" s="194" t="str">
        <f t="shared" ref="AK19:AK28" si="46">IF(AI19="","",COUNTIF($AI$7:$AI$112,AI19))</f>
        <v/>
      </c>
      <c r="AL19" s="187" t="str">
        <f t="shared" si="10"/>
        <v/>
      </c>
      <c r="AN19" s="188" t="str">
        <f t="array" ref="AN19">IF(D19="","",INDEX(구분표!$I$2:$I$319, MATCH(1,(구분표!$E$2:$E$319='1추일출'!C19)*(구분표!$F$2:$F$319='1추일출'!D19)*(구분표!$G$2:$G$319='1추일출'!B19),0)))</f>
        <v/>
      </c>
      <c r="AP19" s="188"/>
      <c r="AR19" s="173">
        <f t="shared" ref="AR19:AR28" si="47">IF(O19&lt;0,O19,0)</f>
        <v>0</v>
      </c>
      <c r="AS19" s="173">
        <f t="shared" ref="AS19:AS28" si="48">IF(O19&gt;0,O19,0)</f>
        <v>0</v>
      </c>
    </row>
    <row r="20" spans="1:46" ht="60" customHeight="1">
      <c r="A20" s="301">
        <f>COUNTA($C$8:C20)-COUNTBLANK($C$8:C20)+1</f>
        <v>0</v>
      </c>
      <c r="B20" s="256" t="str">
        <f t="shared" si="40"/>
        <v/>
      </c>
      <c r="C20" s="256" t="str">
        <f>IF(D20="","",VLOOKUP(D20,구분표!$A$3:$C$223,3,))</f>
        <v/>
      </c>
      <c r="D20" s="256"/>
      <c r="E20" s="301"/>
      <c r="F20" s="301"/>
      <c r="G20" s="301"/>
      <c r="H20" s="304"/>
      <c r="I20" s="292"/>
      <c r="J20" s="292"/>
      <c r="K20" s="348">
        <f t="shared" si="14"/>
        <v>0</v>
      </c>
      <c r="L20" s="292"/>
      <c r="M20" s="292"/>
      <c r="N20" s="464">
        <f t="shared" si="15"/>
        <v>0</v>
      </c>
      <c r="O20" s="382">
        <f t="shared" si="41"/>
        <v>0</v>
      </c>
      <c r="P20" s="383"/>
      <c r="Q20" s="334"/>
      <c r="R20" s="465">
        <f t="shared" si="17"/>
        <v>0</v>
      </c>
      <c r="S20" s="384" t="str">
        <f t="shared" si="42"/>
        <v>X</v>
      </c>
      <c r="T20" s="354"/>
      <c r="U20" s="353"/>
      <c r="V20" s="257"/>
      <c r="W20" s="188"/>
      <c r="Y20" s="196"/>
      <c r="Z20" s="297">
        <f t="shared" si="2"/>
        <v>0</v>
      </c>
      <c r="AA20" s="297">
        <f t="shared" si="3"/>
        <v>0</v>
      </c>
      <c r="AB20" s="303" t="str">
        <f t="shared" si="4"/>
        <v>OK</v>
      </c>
      <c r="AC20" s="341"/>
      <c r="AD20" s="302"/>
      <c r="AE20" s="297">
        <f t="shared" si="5"/>
        <v>0</v>
      </c>
      <c r="AF20" s="297">
        <f t="shared" ref="AF20:AF28" si="49">IF($Y20="도비",SUM(P20:Q20),IF($W20="국도비","직접입력",SUM(P20:Q20)-AE20))</f>
        <v>0</v>
      </c>
      <c r="AG20" s="303" t="str">
        <f t="shared" ref="AG20:AG28" si="50">IF(SUM(P20:Q20)=SUM(AE20:AF20),"OK","검토")</f>
        <v>OK</v>
      </c>
      <c r="AI20" s="197" t="str">
        <f t="shared" si="45"/>
        <v/>
      </c>
      <c r="AK20" s="194" t="str">
        <f t="shared" si="46"/>
        <v/>
      </c>
      <c r="AL20" s="187" t="str">
        <f t="shared" si="10"/>
        <v/>
      </c>
      <c r="AN20" s="188" t="str">
        <f t="array" ref="AN20">IF(D20="","",INDEX(구분표!$I$2:$I$319, MATCH(1,(구분표!$E$2:$E$319='1추일출'!C20)*(구분표!$F$2:$F$319='1추일출'!D20)*(구분표!$G$2:$G$319='1추일출'!B20),0)))</f>
        <v/>
      </c>
      <c r="AP20" s="188"/>
      <c r="AR20" s="173">
        <f t="shared" si="47"/>
        <v>0</v>
      </c>
      <c r="AS20" s="173">
        <f t="shared" si="48"/>
        <v>0</v>
      </c>
    </row>
    <row r="21" spans="1:46" ht="60" customHeight="1">
      <c r="A21" s="301">
        <f>COUNTA($C$8:C21)-COUNTBLANK($C$8:C21)+1</f>
        <v>0</v>
      </c>
      <c r="B21" s="256" t="str">
        <f t="shared" si="40"/>
        <v/>
      </c>
      <c r="C21" s="256" t="str">
        <f>IF(D21="","",VLOOKUP(D21,구분표!$A$3:$C$223,3,))</f>
        <v/>
      </c>
      <c r="D21" s="256"/>
      <c r="E21" s="301"/>
      <c r="F21" s="301"/>
      <c r="G21" s="301"/>
      <c r="H21" s="304"/>
      <c r="I21" s="292"/>
      <c r="J21" s="292"/>
      <c r="K21" s="348">
        <f t="shared" si="14"/>
        <v>0</v>
      </c>
      <c r="L21" s="292"/>
      <c r="M21" s="292"/>
      <c r="N21" s="464">
        <f t="shared" si="15"/>
        <v>0</v>
      </c>
      <c r="O21" s="382">
        <f t="shared" si="41"/>
        <v>0</v>
      </c>
      <c r="P21" s="383"/>
      <c r="Q21" s="334"/>
      <c r="R21" s="465">
        <f t="shared" si="17"/>
        <v>0</v>
      </c>
      <c r="S21" s="384" t="str">
        <f t="shared" si="42"/>
        <v>X</v>
      </c>
      <c r="T21" s="354"/>
      <c r="U21" s="354"/>
      <c r="V21" s="354"/>
      <c r="W21" s="188"/>
      <c r="Y21" s="196"/>
      <c r="Z21" s="297">
        <f t="shared" si="2"/>
        <v>0</v>
      </c>
      <c r="AA21" s="297">
        <f t="shared" si="3"/>
        <v>0</v>
      </c>
      <c r="AB21" s="303" t="str">
        <f t="shared" si="4"/>
        <v>OK</v>
      </c>
      <c r="AC21" s="341"/>
      <c r="AD21" s="302"/>
      <c r="AE21" s="297">
        <f t="shared" si="5"/>
        <v>0</v>
      </c>
      <c r="AF21" s="297">
        <f t="shared" si="49"/>
        <v>0</v>
      </c>
      <c r="AG21" s="303" t="str">
        <f t="shared" si="50"/>
        <v>OK</v>
      </c>
      <c r="AI21" s="197" t="str">
        <f t="shared" si="45"/>
        <v/>
      </c>
      <c r="AK21" s="194" t="str">
        <f t="shared" si="46"/>
        <v/>
      </c>
      <c r="AL21" s="187" t="str">
        <f t="shared" si="10"/>
        <v/>
      </c>
      <c r="AN21" s="188" t="str">
        <f t="array" ref="AN21">IF(D21="","",INDEX(구분표!$I$2:$I$319, MATCH(1,(구분표!$E$2:$E$319='1추일출'!C21)*(구분표!$F$2:$F$319='1추일출'!D21)*(구분표!$G$2:$G$319='1추일출'!B21),0)))</f>
        <v/>
      </c>
      <c r="AP21" s="188"/>
      <c r="AR21" s="173">
        <f t="shared" si="47"/>
        <v>0</v>
      </c>
      <c r="AS21" s="173">
        <f t="shared" si="48"/>
        <v>0</v>
      </c>
    </row>
    <row r="22" spans="1:46" ht="60" customHeight="1">
      <c r="A22" s="301">
        <f>COUNTA($C$8:C22)-COUNTBLANK($C$8:C22)+1</f>
        <v>0</v>
      </c>
      <c r="B22" s="256" t="str">
        <f t="shared" si="40"/>
        <v/>
      </c>
      <c r="C22" s="256" t="str">
        <f>IF(D22="","",VLOOKUP(D22,구분표!$A$3:$C$223,3,))</f>
        <v/>
      </c>
      <c r="D22" s="256"/>
      <c r="E22" s="301"/>
      <c r="F22" s="301"/>
      <c r="G22" s="301"/>
      <c r="H22" s="304"/>
      <c r="I22" s="292"/>
      <c r="J22" s="292"/>
      <c r="K22" s="348">
        <f t="shared" ref="K22" si="51">I22-J22</f>
        <v>0</v>
      </c>
      <c r="L22" s="292"/>
      <c r="M22" s="292"/>
      <c r="N22" s="464">
        <f t="shared" ref="N22" si="52">I22+L22+M22</f>
        <v>0</v>
      </c>
      <c r="O22" s="382">
        <f t="shared" si="41"/>
        <v>0</v>
      </c>
      <c r="P22" s="383"/>
      <c r="Q22" s="334"/>
      <c r="R22" s="465">
        <f t="shared" ref="R22" si="53">I22+P22+Q22</f>
        <v>0</v>
      </c>
      <c r="S22" s="384" t="str">
        <f t="shared" si="42"/>
        <v>X</v>
      </c>
      <c r="T22" s="354"/>
      <c r="U22" s="353"/>
      <c r="V22" s="257"/>
      <c r="W22" s="188"/>
      <c r="Y22" s="196"/>
      <c r="Z22" s="297">
        <f t="shared" si="2"/>
        <v>0</v>
      </c>
      <c r="AA22" s="297">
        <f t="shared" si="3"/>
        <v>0</v>
      </c>
      <c r="AB22" s="303" t="str">
        <f t="shared" si="4"/>
        <v>OK</v>
      </c>
      <c r="AC22" s="341"/>
      <c r="AD22" s="302"/>
      <c r="AE22" s="297">
        <f t="shared" si="5"/>
        <v>0</v>
      </c>
      <c r="AF22" s="297">
        <f t="shared" si="49"/>
        <v>0</v>
      </c>
      <c r="AG22" s="303" t="str">
        <f t="shared" si="50"/>
        <v>OK</v>
      </c>
      <c r="AI22" s="197" t="str">
        <f t="shared" si="45"/>
        <v/>
      </c>
      <c r="AK22" s="231" t="str">
        <f t="shared" si="46"/>
        <v/>
      </c>
      <c r="AL22" s="187" t="str">
        <f t="shared" ref="AL22" si="54">IF(Y22="","",IF(AND(Y22="도비",AI22="세입없음"),"OK",IF(AND(Y22&lt;&gt;"도비",AI22&lt;&gt;""),"OK","@@")))</f>
        <v/>
      </c>
      <c r="AN22" s="188" t="str">
        <f t="array" ref="AN22">IF(D22="","",INDEX(구분표!$I$2:$I$319, MATCH(1,(구분표!$E$2:$E$319='1추일출'!C22)*(구분표!$F$2:$F$319='1추일출'!D22)*(구분표!$G$2:$G$319='1추일출'!B22),0)))</f>
        <v/>
      </c>
      <c r="AP22" s="188"/>
      <c r="AR22" s="173">
        <f t="shared" si="47"/>
        <v>0</v>
      </c>
      <c r="AS22" s="173">
        <f t="shared" si="48"/>
        <v>0</v>
      </c>
    </row>
    <row r="23" spans="1:46" ht="60" customHeight="1">
      <c r="A23" s="301">
        <f>COUNTA($C$8:C23)-COUNTBLANK($C$8:C23)+1</f>
        <v>0</v>
      </c>
      <c r="B23" s="256" t="str">
        <f t="shared" si="40"/>
        <v/>
      </c>
      <c r="C23" s="256" t="str">
        <f>IF(D23="","",VLOOKUP(D23,구분표!$A$3:$C$223,3,))</f>
        <v/>
      </c>
      <c r="D23" s="256"/>
      <c r="E23" s="301"/>
      <c r="F23" s="301"/>
      <c r="G23" s="301"/>
      <c r="H23" s="304"/>
      <c r="I23" s="292"/>
      <c r="J23" s="292"/>
      <c r="K23" s="348">
        <f t="shared" si="14"/>
        <v>0</v>
      </c>
      <c r="L23" s="292"/>
      <c r="M23" s="292"/>
      <c r="N23" s="464">
        <f t="shared" si="15"/>
        <v>0</v>
      </c>
      <c r="O23" s="382">
        <f t="shared" si="41"/>
        <v>0</v>
      </c>
      <c r="P23" s="383"/>
      <c r="Q23" s="334"/>
      <c r="R23" s="465">
        <f t="shared" si="17"/>
        <v>0</v>
      </c>
      <c r="S23" s="384" t="str">
        <f t="shared" si="42"/>
        <v>X</v>
      </c>
      <c r="T23" s="354"/>
      <c r="U23" s="353"/>
      <c r="V23" s="257"/>
      <c r="W23" s="188"/>
      <c r="Y23" s="196"/>
      <c r="Z23" s="297">
        <f t="shared" si="2"/>
        <v>0</v>
      </c>
      <c r="AA23" s="297">
        <f t="shared" si="3"/>
        <v>0</v>
      </c>
      <c r="AB23" s="303" t="str">
        <f t="shared" si="4"/>
        <v>OK</v>
      </c>
      <c r="AC23" s="341"/>
      <c r="AD23" s="302"/>
      <c r="AE23" s="297">
        <f t="shared" si="5"/>
        <v>0</v>
      </c>
      <c r="AF23" s="297">
        <f t="shared" si="49"/>
        <v>0</v>
      </c>
      <c r="AG23" s="303" t="str">
        <f t="shared" si="50"/>
        <v>OK</v>
      </c>
      <c r="AI23" s="197" t="str">
        <f t="shared" si="45"/>
        <v/>
      </c>
      <c r="AK23" s="231" t="str">
        <f t="shared" si="46"/>
        <v/>
      </c>
      <c r="AL23" s="187" t="str">
        <f t="shared" si="10"/>
        <v/>
      </c>
      <c r="AN23" s="188" t="str">
        <f t="array" ref="AN23">IF(D23="","",INDEX(구분표!$I$2:$I$319, MATCH(1,(구분표!$E$2:$E$319='1추일출'!C23)*(구분표!$F$2:$F$319='1추일출'!D23)*(구분표!$G$2:$G$319='1추일출'!B23),0)))</f>
        <v/>
      </c>
      <c r="AP23" s="188"/>
      <c r="AR23" s="173">
        <f t="shared" si="47"/>
        <v>0</v>
      </c>
      <c r="AS23" s="173">
        <f t="shared" si="48"/>
        <v>0</v>
      </c>
    </row>
    <row r="24" spans="1:46" ht="60" customHeight="1">
      <c r="A24" s="301">
        <f>COUNTA($C$8:C24)-COUNTBLANK($C$8:C24)+1</f>
        <v>0</v>
      </c>
      <c r="B24" s="256" t="str">
        <f t="shared" si="40"/>
        <v/>
      </c>
      <c r="C24" s="256" t="str">
        <f>IF(D24="","",VLOOKUP(D24,구분표!$A$3:$C$223,3,))</f>
        <v/>
      </c>
      <c r="D24" s="256"/>
      <c r="E24" s="301"/>
      <c r="F24" s="301"/>
      <c r="G24" s="301"/>
      <c r="H24" s="304"/>
      <c r="I24" s="292"/>
      <c r="J24" s="292"/>
      <c r="K24" s="348">
        <f t="shared" ref="K24" si="55">I24-J24</f>
        <v>0</v>
      </c>
      <c r="L24" s="292"/>
      <c r="M24" s="292"/>
      <c r="N24" s="464">
        <f t="shared" ref="N24" si="56">I24+L24+M24</f>
        <v>0</v>
      </c>
      <c r="O24" s="382">
        <f t="shared" si="41"/>
        <v>0</v>
      </c>
      <c r="P24" s="383"/>
      <c r="Q24" s="334"/>
      <c r="R24" s="465">
        <f t="shared" ref="R24:R25" si="57">I24+P24+Q24</f>
        <v>0</v>
      </c>
      <c r="S24" s="384" t="str">
        <f t="shared" si="42"/>
        <v>X</v>
      </c>
      <c r="T24" s="354"/>
      <c r="U24" s="354"/>
      <c r="V24" s="257"/>
      <c r="W24" s="188"/>
      <c r="Y24" s="196"/>
      <c r="Z24" s="297">
        <f t="shared" si="2"/>
        <v>0</v>
      </c>
      <c r="AA24" s="297">
        <f t="shared" si="3"/>
        <v>0</v>
      </c>
      <c r="AB24" s="303" t="str">
        <f t="shared" si="4"/>
        <v>OK</v>
      </c>
      <c r="AC24" s="341"/>
      <c r="AD24" s="302"/>
      <c r="AE24" s="297">
        <f t="shared" si="5"/>
        <v>0</v>
      </c>
      <c r="AF24" s="297">
        <f t="shared" si="49"/>
        <v>0</v>
      </c>
      <c r="AG24" s="303" t="str">
        <f t="shared" si="50"/>
        <v>OK</v>
      </c>
      <c r="AI24" s="197" t="str">
        <f t="shared" si="45"/>
        <v/>
      </c>
      <c r="AK24" s="231" t="str">
        <f t="shared" si="46"/>
        <v/>
      </c>
      <c r="AL24" s="187" t="str">
        <f t="shared" ref="AL24" si="58">IF(Y24="","",IF(AND(Y24="도비",AI24="세입없음"),"OK",IF(AND(Y24&lt;&gt;"도비",AI24&lt;&gt;""),"OK","@@")))</f>
        <v/>
      </c>
      <c r="AN24" s="188" t="str">
        <f t="array" ref="AN24">IF(D24="","",INDEX(구분표!$I$2:$I$319, MATCH(1,(구분표!$E$2:$E$319='1추일출'!C24)*(구분표!$F$2:$F$319='1추일출'!D24)*(구분표!$G$2:$G$319='1추일출'!B24),0)))</f>
        <v/>
      </c>
      <c r="AP24" s="188"/>
      <c r="AR24" s="173">
        <f t="shared" si="47"/>
        <v>0</v>
      </c>
      <c r="AS24" s="173">
        <f t="shared" si="48"/>
        <v>0</v>
      </c>
    </row>
    <row r="25" spans="1:46" ht="60" customHeight="1">
      <c r="A25" s="301">
        <f>COUNTA($C$8:C25)-COUNTBLANK($C$8:C25)+1</f>
        <v>0</v>
      </c>
      <c r="B25" s="256" t="str">
        <f>IF(C25="","",MID($B$18,2,7))</f>
        <v/>
      </c>
      <c r="C25" s="256" t="str">
        <f>IF(D25="","",VLOOKUP(D25,구분표!$A$3:$C$223,3,))</f>
        <v/>
      </c>
      <c r="D25" s="256"/>
      <c r="E25" s="301"/>
      <c r="F25" s="301"/>
      <c r="G25" s="301"/>
      <c r="H25" s="304"/>
      <c r="I25" s="292"/>
      <c r="J25" s="292"/>
      <c r="K25" s="348">
        <f t="shared" ref="K25" si="59">I25-J25</f>
        <v>0</v>
      </c>
      <c r="L25" s="292"/>
      <c r="M25" s="292"/>
      <c r="N25" s="464">
        <f t="shared" ref="N25" si="60">I25+L25+M25</f>
        <v>0</v>
      </c>
      <c r="O25" s="382">
        <f t="shared" ref="O25" si="61">R25-N25</f>
        <v>0</v>
      </c>
      <c r="P25" s="383"/>
      <c r="Q25" s="334"/>
      <c r="R25" s="465">
        <f t="shared" si="57"/>
        <v>0</v>
      </c>
      <c r="S25" s="384" t="str">
        <f t="shared" ref="S25" si="62">IF(AND((N25=0),(R25&gt;0)),"O",IF(AND((L25&lt;0),(N25-R25&lt;0)),"O","X"))</f>
        <v>X</v>
      </c>
      <c r="T25" s="354"/>
      <c r="U25" s="353"/>
      <c r="V25" s="257"/>
      <c r="W25" s="188"/>
      <c r="Y25" s="196"/>
      <c r="Z25" s="297">
        <f t="shared" si="2"/>
        <v>0</v>
      </c>
      <c r="AA25" s="297">
        <f t="shared" si="3"/>
        <v>0</v>
      </c>
      <c r="AB25" s="303" t="str">
        <f t="shared" si="4"/>
        <v>OK</v>
      </c>
      <c r="AC25" s="341"/>
      <c r="AD25" s="303"/>
      <c r="AE25" s="297">
        <f t="shared" si="5"/>
        <v>0</v>
      </c>
      <c r="AF25" s="297">
        <f t="shared" si="49"/>
        <v>0</v>
      </c>
      <c r="AG25" s="303" t="str">
        <f t="shared" si="50"/>
        <v>OK</v>
      </c>
      <c r="AI25" s="197" t="str">
        <f t="shared" si="45"/>
        <v/>
      </c>
      <c r="AK25" s="231" t="str">
        <f t="shared" si="46"/>
        <v/>
      </c>
      <c r="AL25" s="187" t="str">
        <f t="shared" ref="AL25" si="63">IF(Y25="","",IF(AND(Y25="도비",AI25="세입없음"),"OK",IF(AND(Y25&lt;&gt;"도비",AI25&lt;&gt;""),"OK","@@")))</f>
        <v/>
      </c>
      <c r="AN25" s="188" t="str">
        <f t="array" ref="AN25">IF(D25="","",INDEX(구분표!$I$2:$I$319, MATCH(1,(구분표!$E$2:$E$319='1추일출'!C25)*(구분표!$F$2:$F$319='1추일출'!D25)*(구분표!$G$2:$G$319='1추일출'!B25),0)))</f>
        <v/>
      </c>
      <c r="AP25" s="188"/>
      <c r="AR25" s="173">
        <f t="shared" si="47"/>
        <v>0</v>
      </c>
      <c r="AS25" s="173">
        <f t="shared" si="48"/>
        <v>0</v>
      </c>
    </row>
    <row r="26" spans="1:46" ht="60" customHeight="1">
      <c r="A26" s="301">
        <f>COUNTA($C$8:C26)-COUNTBLANK($C$8:C26)+1</f>
        <v>0</v>
      </c>
      <c r="B26" s="256" t="str">
        <f t="shared" ref="B26:B28" si="64">IF(C26="","",MID($B$18,2,7))</f>
        <v/>
      </c>
      <c r="C26" s="256" t="str">
        <f>IF(D26="","",VLOOKUP(D26,구분표!$A$3:$C$223,3,))</f>
        <v/>
      </c>
      <c r="D26" s="256"/>
      <c r="E26" s="301"/>
      <c r="F26" s="301"/>
      <c r="G26" s="301"/>
      <c r="H26" s="304"/>
      <c r="I26" s="292"/>
      <c r="J26" s="292"/>
      <c r="K26" s="348">
        <f>I26-J26</f>
        <v>0</v>
      </c>
      <c r="L26" s="292"/>
      <c r="M26" s="292"/>
      <c r="N26" s="464">
        <f>I26+L26+M26</f>
        <v>0</v>
      </c>
      <c r="O26" s="382">
        <f>R26-N26</f>
        <v>0</v>
      </c>
      <c r="P26" s="383"/>
      <c r="Q26" s="334"/>
      <c r="R26" s="465">
        <f>I26+P26+Q26</f>
        <v>0</v>
      </c>
      <c r="S26" s="384" t="str">
        <f>IF(AND((N26=0),(R26&gt;0)),"O",IF(AND((L26&lt;0),(N26-R26&lt;0)),"O","X"))</f>
        <v>X</v>
      </c>
      <c r="T26" s="354"/>
      <c r="U26" s="353"/>
      <c r="V26" s="257"/>
      <c r="W26" s="188"/>
      <c r="Y26" s="196"/>
      <c r="Z26" s="297">
        <f t="shared" si="2"/>
        <v>0</v>
      </c>
      <c r="AA26" s="297">
        <f t="shared" si="3"/>
        <v>0</v>
      </c>
      <c r="AB26" s="303" t="str">
        <f t="shared" si="4"/>
        <v>OK</v>
      </c>
      <c r="AC26" s="341"/>
      <c r="AD26" s="302"/>
      <c r="AE26" s="297">
        <f t="shared" si="5"/>
        <v>0</v>
      </c>
      <c r="AF26" s="297">
        <f t="shared" si="49"/>
        <v>0</v>
      </c>
      <c r="AG26" s="303" t="str">
        <f t="shared" si="50"/>
        <v>OK</v>
      </c>
      <c r="AI26" s="197" t="str">
        <f t="shared" si="45"/>
        <v/>
      </c>
      <c r="AK26" s="231" t="str">
        <f t="shared" si="46"/>
        <v/>
      </c>
      <c r="AL26" s="187" t="str">
        <f>IF(Y26="","",IF(AND(Y26="도비",AI26="세입없음"),"OK",IF(AND(Y26&lt;&gt;"도비",AI26&lt;&gt;""),"OK","@@")))</f>
        <v/>
      </c>
      <c r="AN26" s="188" t="str">
        <f t="array" ref="AN26">IF(D26="","",INDEX(구분표!$I$2:$I$319, MATCH(1,(구분표!$E$2:$E$319='1추일출'!C26)*(구분표!$F$2:$F$319='1추일출'!D26)*(구분표!$G$2:$G$319='1추일출'!B26),0)))</f>
        <v/>
      </c>
      <c r="AP26" s="188"/>
      <c r="AR26" s="173">
        <f t="shared" si="47"/>
        <v>0</v>
      </c>
      <c r="AS26" s="173">
        <f t="shared" si="48"/>
        <v>0</v>
      </c>
    </row>
    <row r="27" spans="1:46" ht="60" customHeight="1">
      <c r="A27" s="301">
        <f>COUNTA($C$8:C27)-COUNTBLANK($C$8:C27)+1</f>
        <v>0</v>
      </c>
      <c r="B27" s="256" t="str">
        <f t="shared" si="64"/>
        <v/>
      </c>
      <c r="C27" s="256" t="str">
        <f>IF(D27="","",VLOOKUP(D27,구분표!$A$3:$C$223,3,))</f>
        <v/>
      </c>
      <c r="D27" s="256"/>
      <c r="E27" s="301"/>
      <c r="F27" s="301"/>
      <c r="G27" s="301"/>
      <c r="H27" s="304"/>
      <c r="I27" s="292"/>
      <c r="J27" s="292"/>
      <c r="K27" s="348">
        <f>I27-J27</f>
        <v>0</v>
      </c>
      <c r="L27" s="292"/>
      <c r="M27" s="292"/>
      <c r="N27" s="464">
        <f>I27+L27+M27</f>
        <v>0</v>
      </c>
      <c r="O27" s="382">
        <f>R27-N27</f>
        <v>0</v>
      </c>
      <c r="P27" s="383"/>
      <c r="Q27" s="334"/>
      <c r="R27" s="465">
        <f>I27+P27+Q27</f>
        <v>0</v>
      </c>
      <c r="S27" s="384" t="str">
        <f>IF(AND((N27=0),(R27&gt;0)),"O",IF(AND((L27&lt;0),(N27-R27&lt;0)),"O","X"))</f>
        <v>X</v>
      </c>
      <c r="T27" s="354"/>
      <c r="U27" s="353"/>
      <c r="V27" s="257"/>
      <c r="W27" s="188"/>
      <c r="Y27" s="196"/>
      <c r="Z27" s="297">
        <f t="shared" si="2"/>
        <v>0</v>
      </c>
      <c r="AA27" s="297">
        <f t="shared" si="3"/>
        <v>0</v>
      </c>
      <c r="AB27" s="303" t="str">
        <f t="shared" si="4"/>
        <v>OK</v>
      </c>
      <c r="AC27" s="341"/>
      <c r="AD27" s="302"/>
      <c r="AE27" s="297">
        <f t="shared" si="5"/>
        <v>0</v>
      </c>
      <c r="AF27" s="297">
        <f t="shared" si="49"/>
        <v>0</v>
      </c>
      <c r="AG27" s="303" t="str">
        <f t="shared" si="50"/>
        <v>OK</v>
      </c>
      <c r="AI27" s="197" t="str">
        <f t="shared" si="45"/>
        <v/>
      </c>
      <c r="AK27" s="231" t="str">
        <f t="shared" si="46"/>
        <v/>
      </c>
      <c r="AL27" s="187" t="str">
        <f>IF(Y27="","",IF(AND(Y27="도비",AI27="세입없음"),"OK",IF(AND(Y27&lt;&gt;"도비",AI27&lt;&gt;""),"OK","@@")))</f>
        <v/>
      </c>
      <c r="AN27" s="188" t="str">
        <f t="array" ref="AN27">IF(D27="","",INDEX(구분표!$I$2:$I$319, MATCH(1,(구분표!$E$2:$E$319='1추일출'!C27)*(구분표!$F$2:$F$319='1추일출'!D27)*(구분표!$G$2:$G$319='1추일출'!B27),0)))</f>
        <v/>
      </c>
      <c r="AP27" s="188"/>
      <c r="AR27" s="173">
        <f t="shared" si="47"/>
        <v>0</v>
      </c>
      <c r="AS27" s="173">
        <f t="shared" si="48"/>
        <v>0</v>
      </c>
    </row>
    <row r="28" spans="1:46" ht="60" customHeight="1">
      <c r="A28" s="301">
        <f>COUNTA($C$8:C28)-COUNTBLANK($C$8:C28)+1</f>
        <v>0</v>
      </c>
      <c r="B28" s="256" t="str">
        <f t="shared" si="64"/>
        <v/>
      </c>
      <c r="C28" s="256" t="str">
        <f>IF(D28="","",VLOOKUP(D28,구분표!$A$3:$C$223,3,))</f>
        <v/>
      </c>
      <c r="D28" s="256"/>
      <c r="E28" s="301"/>
      <c r="F28" s="301"/>
      <c r="G28" s="301"/>
      <c r="H28" s="304"/>
      <c r="I28" s="292"/>
      <c r="J28" s="292"/>
      <c r="K28" s="348">
        <f t="shared" ref="K28" si="65">I28-J28</f>
        <v>0</v>
      </c>
      <c r="L28" s="292"/>
      <c r="M28" s="292"/>
      <c r="N28" s="464">
        <f t="shared" ref="N28" si="66">I28+L28+M28</f>
        <v>0</v>
      </c>
      <c r="O28" s="382">
        <f t="shared" ref="O28" si="67">R28-N28</f>
        <v>0</v>
      </c>
      <c r="P28" s="383"/>
      <c r="Q28" s="334"/>
      <c r="R28" s="465">
        <f t="shared" ref="R28" si="68">I28+P28+Q28</f>
        <v>0</v>
      </c>
      <c r="S28" s="384" t="str">
        <f t="shared" ref="S28" si="69">IF(AND((N28=0),(R28&gt;0)),"O",IF(AND((L28&lt;0),(N28-R28&lt;0)),"O","X"))</f>
        <v>X</v>
      </c>
      <c r="T28" s="354"/>
      <c r="U28" s="353"/>
      <c r="V28" s="257"/>
      <c r="W28" s="188"/>
      <c r="Y28" s="196"/>
      <c r="Z28" s="297">
        <f t="shared" si="2"/>
        <v>0</v>
      </c>
      <c r="AA28" s="297">
        <f t="shared" si="3"/>
        <v>0</v>
      </c>
      <c r="AB28" s="303" t="str">
        <f t="shared" si="4"/>
        <v>OK</v>
      </c>
      <c r="AC28" s="341"/>
      <c r="AD28" s="302"/>
      <c r="AE28" s="297">
        <f t="shared" si="5"/>
        <v>0</v>
      </c>
      <c r="AF28" s="297">
        <f t="shared" si="49"/>
        <v>0</v>
      </c>
      <c r="AG28" s="303" t="str">
        <f t="shared" si="50"/>
        <v>OK</v>
      </c>
      <c r="AI28" s="197" t="str">
        <f t="shared" si="45"/>
        <v/>
      </c>
      <c r="AK28" s="231" t="str">
        <f t="shared" si="46"/>
        <v/>
      </c>
      <c r="AL28" s="187" t="str">
        <f t="shared" ref="AL28" si="70">IF(Y28="","",IF(AND(Y28="도비",AI28="세입없음"),"OK",IF(AND(Y28&lt;&gt;"도비",AI28&lt;&gt;""),"OK","@@")))</f>
        <v/>
      </c>
      <c r="AN28" s="188" t="str">
        <f t="array" ref="AN28">IF(D28="","",INDEX(구분표!$I$2:$I$319, MATCH(1,(구분표!$E$2:$E$319='1추일출'!C28)*(구분표!$F$2:$F$319='1추일출'!D28)*(구분표!$G$2:$G$319='1추일출'!B28),0)))</f>
        <v/>
      </c>
      <c r="AP28" s="188"/>
      <c r="AR28" s="173">
        <f t="shared" si="47"/>
        <v>0</v>
      </c>
      <c r="AS28" s="173">
        <f t="shared" si="48"/>
        <v>0</v>
      </c>
    </row>
    <row r="29" spans="1:46" ht="60" customHeight="1">
      <c r="A29" s="372"/>
      <c r="B29" s="255" t="s">
        <v>434</v>
      </c>
      <c r="C29" s="255"/>
      <c r="D29" s="255"/>
      <c r="E29" s="255"/>
      <c r="F29" s="255"/>
      <c r="G29" s="255"/>
      <c r="H29" s="385"/>
      <c r="I29" s="374">
        <f t="shared" ref="I29:R29" si="71">SUBTOTAL(9,I30:I39)</f>
        <v>0</v>
      </c>
      <c r="J29" s="374">
        <f t="shared" si="71"/>
        <v>0</v>
      </c>
      <c r="K29" s="374">
        <f t="shared" si="71"/>
        <v>0</v>
      </c>
      <c r="L29" s="374">
        <f t="shared" si="71"/>
        <v>0</v>
      </c>
      <c r="M29" s="374">
        <f t="shared" si="71"/>
        <v>0</v>
      </c>
      <c r="N29" s="375">
        <f t="shared" si="71"/>
        <v>0</v>
      </c>
      <c r="O29" s="376">
        <f t="shared" si="71"/>
        <v>0</v>
      </c>
      <c r="P29" s="377">
        <f t="shared" si="71"/>
        <v>0</v>
      </c>
      <c r="Q29" s="333">
        <f t="shared" si="71"/>
        <v>0</v>
      </c>
      <c r="R29" s="376">
        <f t="shared" si="71"/>
        <v>0</v>
      </c>
      <c r="S29" s="378"/>
      <c r="T29" s="379"/>
      <c r="U29" s="380"/>
      <c r="V29" s="381"/>
      <c r="W29" s="188"/>
      <c r="Y29" s="196"/>
      <c r="Z29" s="297"/>
      <c r="AA29" s="297"/>
      <c r="AB29" s="303"/>
      <c r="AC29" s="341"/>
      <c r="AD29" s="302"/>
      <c r="AE29" s="297"/>
      <c r="AF29" s="297"/>
      <c r="AG29" s="188"/>
      <c r="AI29" s="197"/>
      <c r="AK29" s="194"/>
      <c r="AL29" s="187"/>
      <c r="AN29" s="188"/>
      <c r="AP29" s="188"/>
      <c r="AR29" s="252">
        <f>SUBTOTAL(9,AR30:AR39)</f>
        <v>0</v>
      </c>
      <c r="AS29" s="253">
        <f>SUBTOTAL(9,AS30:AS39)</f>
        <v>0</v>
      </c>
    </row>
    <row r="30" spans="1:46" ht="60" customHeight="1">
      <c r="A30" s="301">
        <f>COUNTA($C$8:C30)-COUNTBLANK($C$8:C30)+2</f>
        <v>0</v>
      </c>
      <c r="B30" s="256" t="str">
        <f t="shared" ref="B30:B39" si="72">IF(C30="","",MID($B$29,2,9))</f>
        <v/>
      </c>
      <c r="C30" s="256" t="str">
        <f>IF(D30="","",VLOOKUP(D30,구분표!$A$3:$C$223,3,))</f>
        <v/>
      </c>
      <c r="D30" s="352"/>
      <c r="E30" s="301"/>
      <c r="F30" s="301"/>
      <c r="G30" s="301"/>
      <c r="H30" s="304"/>
      <c r="I30" s="386"/>
      <c r="J30" s="386"/>
      <c r="K30" s="348">
        <f t="shared" si="14"/>
        <v>0</v>
      </c>
      <c r="L30" s="292"/>
      <c r="M30" s="292"/>
      <c r="N30" s="464">
        <f t="shared" si="15"/>
        <v>0</v>
      </c>
      <c r="O30" s="382">
        <f t="shared" ref="O30:O38" si="73">R30-N30</f>
        <v>0</v>
      </c>
      <c r="P30" s="383"/>
      <c r="Q30" s="334"/>
      <c r="R30" s="465">
        <f t="shared" si="17"/>
        <v>0</v>
      </c>
      <c r="S30" s="384" t="str">
        <f t="shared" si="42"/>
        <v>X</v>
      </c>
      <c r="T30" s="354"/>
      <c r="U30" s="353"/>
      <c r="V30" s="257"/>
      <c r="W30" s="188"/>
      <c r="Y30" s="196"/>
      <c r="Z30" s="297">
        <f t="shared" si="2"/>
        <v>0</v>
      </c>
      <c r="AA30" s="297">
        <f t="shared" si="3"/>
        <v>0</v>
      </c>
      <c r="AB30" s="303" t="str">
        <f t="shared" si="4"/>
        <v>OK</v>
      </c>
      <c r="AC30" s="341"/>
      <c r="AD30" s="302"/>
      <c r="AE30" s="297">
        <f t="shared" si="5"/>
        <v>0</v>
      </c>
      <c r="AF30" s="297">
        <f t="shared" ref="AF30" si="74">IF($Y30="도비",SUM(P30:Q30),IF($W30="국도비","직접입력",SUM(P30:Q30)-AE30))</f>
        <v>0</v>
      </c>
      <c r="AG30" s="303" t="str">
        <f t="shared" ref="AG30" si="75">IF(SUM(P30:Q30)=SUM(AE30:AF30),"OK","검토")</f>
        <v>OK</v>
      </c>
      <c r="AI30" s="197" t="str">
        <f t="shared" ref="AI30:AI39" si="76">IF(W30="","",IF(W30="도비","세입없음","직접입력"))</f>
        <v/>
      </c>
      <c r="AJ30" s="341"/>
      <c r="AK30" s="307" t="str">
        <f t="shared" ref="AK30:AK39" si="77">IF(AI30="","",COUNTIF($AI$7:$AI$112,AI30))</f>
        <v/>
      </c>
      <c r="AL30" s="293" t="str">
        <f t="shared" si="10"/>
        <v/>
      </c>
      <c r="AM30" s="341"/>
      <c r="AN30" s="303" t="str">
        <f t="array" ref="AN30">IF(D30="","",INDEX(구분표!$I$2:$I$319, MATCH(1,(구분표!$E$2:$E$319='1추일출'!C30)*(구분표!$F$2:$F$319='1추일출'!D30)*(구분표!$G$2:$G$319='1추일출'!B30),0)))</f>
        <v/>
      </c>
      <c r="AO30" s="341"/>
      <c r="AP30" s="303"/>
      <c r="AQ30" s="341"/>
      <c r="AR30" s="173">
        <f t="shared" ref="AR30:AR39" si="78">IF(O30&lt;0,O30,0)</f>
        <v>0</v>
      </c>
      <c r="AS30" s="173">
        <f t="shared" ref="AS30:AS39" si="79">IF(O30&gt;0,O30,0)</f>
        <v>0</v>
      </c>
    </row>
    <row r="31" spans="1:46" ht="60" customHeight="1">
      <c r="A31" s="301">
        <f>COUNTA($C$8:C31)-COUNTBLANK($C$8:C31)+2</f>
        <v>0</v>
      </c>
      <c r="B31" s="256" t="str">
        <f>IF(C31="","",MID($B$29,2,9))</f>
        <v/>
      </c>
      <c r="C31" s="256" t="str">
        <f>IF(D31="","",VLOOKUP(D31,구분표!$A$3:$C$223,3,))</f>
        <v/>
      </c>
      <c r="D31" s="256"/>
      <c r="E31" s="301"/>
      <c r="F31" s="301"/>
      <c r="G31" s="301"/>
      <c r="H31" s="304"/>
      <c r="I31" s="292"/>
      <c r="J31" s="292"/>
      <c r="K31" s="348">
        <f>I31-J31</f>
        <v>0</v>
      </c>
      <c r="L31" s="292"/>
      <c r="M31" s="292"/>
      <c r="N31" s="464">
        <f>I31+L31+M31</f>
        <v>0</v>
      </c>
      <c r="O31" s="382">
        <f t="shared" si="73"/>
        <v>0</v>
      </c>
      <c r="P31" s="292"/>
      <c r="Q31" s="334"/>
      <c r="R31" s="465">
        <f>I31+P31+Q31</f>
        <v>0</v>
      </c>
      <c r="S31" s="384" t="str">
        <f>IF(AND((N31=0),(R31&gt;0)),"O",IF(AND((L31&lt;0),(N31-R31&lt;0)),"O","X"))</f>
        <v>X</v>
      </c>
      <c r="T31" s="354"/>
      <c r="U31" s="354"/>
      <c r="V31" s="257"/>
      <c r="W31" s="303"/>
      <c r="X31" s="341"/>
      <c r="Y31" s="302"/>
      <c r="Z31" s="297">
        <f t="shared" si="2"/>
        <v>0</v>
      </c>
      <c r="AA31" s="297">
        <f t="shared" si="3"/>
        <v>0</v>
      </c>
      <c r="AB31" s="303" t="str">
        <f t="shared" si="4"/>
        <v>OK</v>
      </c>
      <c r="AC31" s="341"/>
      <c r="AD31" s="302"/>
      <c r="AE31" s="297">
        <f t="shared" si="5"/>
        <v>0</v>
      </c>
      <c r="AF31" s="297">
        <f t="shared" ref="AF31:AF39" si="80">IF($Y31="도비",SUM(P31:Q31),IF($W31="국도비","직접입력",SUM(P31:Q31)-AE31))</f>
        <v>0</v>
      </c>
      <c r="AG31" s="303" t="str">
        <f t="shared" ref="AG31:AG39" si="81">IF(SUM(P31:Q31)=SUM(AE31:AF31),"OK","검토")</f>
        <v>OK</v>
      </c>
      <c r="AH31" s="341"/>
      <c r="AI31" s="197" t="str">
        <f t="shared" si="76"/>
        <v/>
      </c>
      <c r="AJ31" s="341"/>
      <c r="AK31" s="307" t="str">
        <f t="shared" si="77"/>
        <v/>
      </c>
      <c r="AL31" s="293" t="str">
        <f>IF(Y31="","",IF(AND(Y31="도비",AI31="세입없음"),"OK",IF(AND(Y31&lt;&gt;"도비",AI31&lt;&gt;""),"OK","@@")))</f>
        <v/>
      </c>
      <c r="AM31" s="341"/>
      <c r="AN31" s="303" t="str">
        <f t="array" ref="AN31">IF(D31="","",INDEX(구분표!$I$2:$I$319, MATCH(1,(구분표!$E$2:$E$319='1추일출'!C31)*(구분표!$F$2:$F$319='1추일출'!D31)*(구분표!$G$2:$G$319='1추일출'!B31),0)))</f>
        <v/>
      </c>
      <c r="AO31" s="341"/>
      <c r="AP31" s="303"/>
      <c r="AQ31" s="341"/>
      <c r="AR31" s="173">
        <f t="shared" si="78"/>
        <v>0</v>
      </c>
      <c r="AS31" s="173">
        <f t="shared" si="79"/>
        <v>0</v>
      </c>
      <c r="AT31" s="173" t="s">
        <v>624</v>
      </c>
    </row>
    <row r="32" spans="1:46" ht="60" customHeight="1">
      <c r="A32" s="301">
        <f>COUNTA($C$8:C32)-COUNTBLANK($C$8:C32)+2</f>
        <v>0</v>
      </c>
      <c r="B32" s="256" t="str">
        <f>IF(C32="","",MID($B$29,2,9))</f>
        <v/>
      </c>
      <c r="C32" s="256" t="str">
        <f>IF(D32="","",VLOOKUP(D32,구분표!$A$3:$C$223,3,))</f>
        <v/>
      </c>
      <c r="D32" s="256"/>
      <c r="E32" s="301"/>
      <c r="F32" s="301"/>
      <c r="G32" s="301"/>
      <c r="H32" s="304"/>
      <c r="I32" s="292"/>
      <c r="J32" s="292"/>
      <c r="K32" s="348">
        <f>I32-J32</f>
        <v>0</v>
      </c>
      <c r="L32" s="292"/>
      <c r="M32" s="292"/>
      <c r="N32" s="464">
        <f>I32+L32+M32</f>
        <v>0</v>
      </c>
      <c r="O32" s="382">
        <f t="shared" si="73"/>
        <v>0</v>
      </c>
      <c r="P32" s="383"/>
      <c r="Q32" s="334"/>
      <c r="R32" s="465">
        <f>I32+P32+Q32</f>
        <v>0</v>
      </c>
      <c r="S32" s="384" t="str">
        <f>IF(AND((N32=0),(R32&gt;0)),"O",IF(AND((L32&lt;0),(N32-R32&lt;0)),"O","X"))</f>
        <v>X</v>
      </c>
      <c r="T32" s="354"/>
      <c r="U32" s="354"/>
      <c r="V32" s="257"/>
      <c r="W32" s="303"/>
      <c r="X32" s="341"/>
      <c r="Y32" s="302"/>
      <c r="Z32" s="297">
        <f t="shared" si="2"/>
        <v>0</v>
      </c>
      <c r="AA32" s="297">
        <f t="shared" si="3"/>
        <v>0</v>
      </c>
      <c r="AB32" s="303" t="str">
        <f t="shared" si="4"/>
        <v>OK</v>
      </c>
      <c r="AC32" s="341"/>
      <c r="AD32" s="302"/>
      <c r="AE32" s="297">
        <f t="shared" si="5"/>
        <v>0</v>
      </c>
      <c r="AF32" s="297">
        <f t="shared" si="80"/>
        <v>0</v>
      </c>
      <c r="AG32" s="303" t="str">
        <f t="shared" si="81"/>
        <v>OK</v>
      </c>
      <c r="AH32" s="341"/>
      <c r="AI32" s="197" t="str">
        <f t="shared" si="76"/>
        <v/>
      </c>
      <c r="AJ32" s="341"/>
      <c r="AK32" s="307" t="str">
        <f t="shared" si="77"/>
        <v/>
      </c>
      <c r="AL32" s="293" t="str">
        <f>IF(Y32="","",IF(AND(Y32="도비",AI32="세입없음"),"OK",IF(AND(Y32&lt;&gt;"도비",AI32&lt;&gt;""),"OK","@@")))</f>
        <v/>
      </c>
      <c r="AM32" s="341"/>
      <c r="AN32" s="303" t="str">
        <f t="array" ref="AN32">IF(D32="","",INDEX(구분표!$I$2:$I$319, MATCH(1,(구분표!$E$2:$E$319='1추일출'!C32)*(구분표!$F$2:$F$319='1추일출'!D32)*(구분표!$G$2:$G$319='1추일출'!B32),0)))</f>
        <v/>
      </c>
      <c r="AO32" s="341"/>
      <c r="AP32" s="303"/>
      <c r="AQ32" s="341"/>
      <c r="AR32" s="173">
        <f t="shared" si="78"/>
        <v>0</v>
      </c>
      <c r="AS32" s="173">
        <f t="shared" si="79"/>
        <v>0</v>
      </c>
    </row>
    <row r="33" spans="1:45" ht="60" customHeight="1">
      <c r="A33" s="301">
        <f>COUNTA($C$8:C33)-COUNTBLANK($C$8:C33)+2</f>
        <v>0</v>
      </c>
      <c r="B33" s="256" t="str">
        <f>IF(C33="","",MID($B$29,2,9))</f>
        <v/>
      </c>
      <c r="C33" s="256" t="str">
        <f>IF(D33="","",VLOOKUP(D33,구분표!$A$3:$C$223,3,))</f>
        <v/>
      </c>
      <c r="D33" s="256"/>
      <c r="E33" s="301"/>
      <c r="F33" s="301"/>
      <c r="G33" s="301"/>
      <c r="H33" s="304"/>
      <c r="I33" s="292"/>
      <c r="J33" s="292"/>
      <c r="K33" s="348">
        <f>I33-J33</f>
        <v>0</v>
      </c>
      <c r="L33" s="292"/>
      <c r="M33" s="292"/>
      <c r="N33" s="464">
        <f>I33+L33+M33</f>
        <v>0</v>
      </c>
      <c r="O33" s="382">
        <f t="shared" ref="O33" si="82">R33-N33</f>
        <v>0</v>
      </c>
      <c r="P33" s="383"/>
      <c r="Q33" s="334"/>
      <c r="R33" s="465">
        <f>I33+P33+Q33</f>
        <v>0</v>
      </c>
      <c r="S33" s="384" t="str">
        <f>IF(AND((N33=0),(R33&gt;0)),"O",IF(AND((L33&lt;0),(N33-R33&lt;0)),"O","X"))</f>
        <v>X</v>
      </c>
      <c r="T33" s="354"/>
      <c r="U33" s="354"/>
      <c r="V33" s="257"/>
      <c r="W33" s="303"/>
      <c r="X33" s="341"/>
      <c r="Y33" s="302"/>
      <c r="Z33" s="297">
        <f t="shared" si="2"/>
        <v>0</v>
      </c>
      <c r="AA33" s="297">
        <f t="shared" si="3"/>
        <v>0</v>
      </c>
      <c r="AB33" s="303" t="str">
        <f t="shared" si="4"/>
        <v>OK</v>
      </c>
      <c r="AC33" s="341"/>
      <c r="AD33" s="302"/>
      <c r="AE33" s="297">
        <f t="shared" si="5"/>
        <v>0</v>
      </c>
      <c r="AF33" s="297">
        <f t="shared" si="80"/>
        <v>0</v>
      </c>
      <c r="AG33" s="303" t="str">
        <f t="shared" si="81"/>
        <v>OK</v>
      </c>
      <c r="AH33" s="341"/>
      <c r="AI33" s="197" t="str">
        <f t="shared" si="76"/>
        <v/>
      </c>
      <c r="AJ33" s="341"/>
      <c r="AK33" s="307" t="str">
        <f t="shared" si="77"/>
        <v/>
      </c>
      <c r="AL33" s="293" t="str">
        <f>IF(Y33="","",IF(AND(Y33="도비",AI33="세입없음"),"OK",IF(AND(Y33&lt;&gt;"도비",AI33&lt;&gt;""),"OK","@@")))</f>
        <v/>
      </c>
      <c r="AM33" s="341"/>
      <c r="AN33" s="303" t="str">
        <f t="array" ref="AN33">IF(D33="","",INDEX(구분표!$I$2:$I$319, MATCH(1,(구분표!$E$2:$E$319='1추일출'!C33)*(구분표!$F$2:$F$319='1추일출'!D33)*(구분표!$G$2:$G$319='1추일출'!B33),0)))</f>
        <v/>
      </c>
      <c r="AO33" s="341"/>
      <c r="AP33" s="303"/>
      <c r="AQ33" s="341"/>
      <c r="AR33" s="173">
        <f t="shared" si="78"/>
        <v>0</v>
      </c>
      <c r="AS33" s="173">
        <f t="shared" si="79"/>
        <v>0</v>
      </c>
    </row>
    <row r="34" spans="1:45" ht="60" customHeight="1">
      <c r="A34" s="301">
        <f>COUNTA($C$8:C34)-COUNTBLANK($C$8:C34)+2</f>
        <v>0</v>
      </c>
      <c r="B34" s="256" t="str">
        <f t="shared" si="72"/>
        <v/>
      </c>
      <c r="C34" s="256" t="str">
        <f>IF(D34="","",VLOOKUP(D34,구분표!$A$3:$C$223,3,))</f>
        <v/>
      </c>
      <c r="D34" s="352"/>
      <c r="E34" s="301"/>
      <c r="F34" s="301"/>
      <c r="G34" s="301"/>
      <c r="H34" s="304"/>
      <c r="I34" s="386"/>
      <c r="J34" s="386"/>
      <c r="K34" s="348">
        <f t="shared" si="14"/>
        <v>0</v>
      </c>
      <c r="L34" s="292"/>
      <c r="M34" s="292"/>
      <c r="N34" s="464">
        <f t="shared" si="15"/>
        <v>0</v>
      </c>
      <c r="O34" s="382">
        <f t="shared" si="73"/>
        <v>0</v>
      </c>
      <c r="P34" s="383"/>
      <c r="Q34" s="334"/>
      <c r="R34" s="465">
        <f t="shared" si="17"/>
        <v>0</v>
      </c>
      <c r="S34" s="384" t="str">
        <f t="shared" si="42"/>
        <v>X</v>
      </c>
      <c r="T34" s="354"/>
      <c r="U34" s="353"/>
      <c r="V34" s="257"/>
      <c r="W34" s="196"/>
      <c r="X34" s="261"/>
      <c r="Y34" s="196"/>
      <c r="Z34" s="297">
        <f t="shared" si="2"/>
        <v>0</v>
      </c>
      <c r="AA34" s="297">
        <f t="shared" si="3"/>
        <v>0</v>
      </c>
      <c r="AB34" s="303" t="str">
        <f t="shared" si="4"/>
        <v>OK</v>
      </c>
      <c r="AC34" s="341"/>
      <c r="AD34" s="302"/>
      <c r="AE34" s="297">
        <f t="shared" si="5"/>
        <v>0</v>
      </c>
      <c r="AF34" s="297">
        <f t="shared" si="80"/>
        <v>0</v>
      </c>
      <c r="AG34" s="303" t="str">
        <f t="shared" si="81"/>
        <v>OK</v>
      </c>
      <c r="AI34" s="197" t="str">
        <f t="shared" si="76"/>
        <v/>
      </c>
      <c r="AK34" s="231" t="str">
        <f t="shared" si="77"/>
        <v/>
      </c>
      <c r="AL34" s="187" t="str">
        <f t="shared" si="10"/>
        <v/>
      </c>
      <c r="AN34" s="188" t="str">
        <f t="array" ref="AN34">IF(D34="","",INDEX(구분표!$I$2:$I$319, MATCH(1,(구분표!$E$2:$E$319='1추일출'!C34)*(구분표!$F$2:$F$319='1추일출'!D34)*(구분표!$G$2:$G$319='1추일출'!B34),0)))</f>
        <v/>
      </c>
      <c r="AP34" s="188"/>
      <c r="AR34" s="173">
        <f t="shared" si="78"/>
        <v>0</v>
      </c>
      <c r="AS34" s="173">
        <f t="shared" si="79"/>
        <v>0</v>
      </c>
    </row>
    <row r="35" spans="1:45" ht="60" customHeight="1">
      <c r="A35" s="301">
        <f>COUNTA($C$8:C35)-COUNTBLANK($C$8:C35)+2</f>
        <v>0</v>
      </c>
      <c r="B35" s="256" t="str">
        <f t="shared" si="72"/>
        <v/>
      </c>
      <c r="C35" s="256" t="str">
        <f>IF(D35="","",VLOOKUP(D35,구분표!$A$3:$C$223,3,))</f>
        <v/>
      </c>
      <c r="D35" s="352"/>
      <c r="E35" s="301"/>
      <c r="F35" s="301"/>
      <c r="G35" s="301"/>
      <c r="H35" s="304"/>
      <c r="I35" s="386"/>
      <c r="J35" s="386"/>
      <c r="K35" s="348">
        <f t="shared" si="14"/>
        <v>0</v>
      </c>
      <c r="L35" s="292"/>
      <c r="M35" s="292"/>
      <c r="N35" s="464">
        <f t="shared" si="15"/>
        <v>0</v>
      </c>
      <c r="O35" s="382">
        <f t="shared" si="73"/>
        <v>0</v>
      </c>
      <c r="P35" s="383"/>
      <c r="Q35" s="334"/>
      <c r="R35" s="465">
        <f t="shared" si="17"/>
        <v>0</v>
      </c>
      <c r="S35" s="384" t="str">
        <f t="shared" si="42"/>
        <v>X</v>
      </c>
      <c r="T35" s="354"/>
      <c r="U35" s="353"/>
      <c r="V35" s="257"/>
      <c r="W35" s="303"/>
      <c r="X35" s="341"/>
      <c r="Y35" s="302"/>
      <c r="Z35" s="297">
        <f t="shared" si="2"/>
        <v>0</v>
      </c>
      <c r="AA35" s="297">
        <f t="shared" si="3"/>
        <v>0</v>
      </c>
      <c r="AB35" s="303" t="str">
        <f t="shared" si="4"/>
        <v>OK</v>
      </c>
      <c r="AC35" s="341"/>
      <c r="AD35" s="302"/>
      <c r="AE35" s="297">
        <f t="shared" si="5"/>
        <v>0</v>
      </c>
      <c r="AF35" s="297">
        <f t="shared" si="80"/>
        <v>0</v>
      </c>
      <c r="AG35" s="303" t="str">
        <f t="shared" si="81"/>
        <v>OK</v>
      </c>
      <c r="AH35" s="341"/>
      <c r="AI35" s="197" t="str">
        <f t="shared" si="76"/>
        <v/>
      </c>
      <c r="AJ35" s="341"/>
      <c r="AK35" s="307" t="str">
        <f t="shared" si="77"/>
        <v/>
      </c>
      <c r="AL35" s="293" t="str">
        <f t="shared" si="10"/>
        <v/>
      </c>
      <c r="AM35" s="341"/>
      <c r="AN35" s="303" t="str">
        <f t="array" ref="AN35">IF(D35="","",INDEX(구분표!$I$2:$I$319, MATCH(1,(구분표!$E$2:$E$319='1추일출'!C35)*(구분표!$F$2:$F$319='1추일출'!D35)*(구분표!$G$2:$G$319='1추일출'!B35),0)))</f>
        <v/>
      </c>
      <c r="AO35" s="341"/>
      <c r="AP35" s="303"/>
      <c r="AQ35" s="341"/>
      <c r="AR35" s="173">
        <f t="shared" si="78"/>
        <v>0</v>
      </c>
      <c r="AS35" s="173">
        <f t="shared" si="79"/>
        <v>0</v>
      </c>
    </row>
    <row r="36" spans="1:45" ht="60" customHeight="1">
      <c r="A36" s="301">
        <f>COUNTA($C$8:C36)-COUNTBLANK($C$8:C36)+2</f>
        <v>0</v>
      </c>
      <c r="B36" s="256" t="str">
        <f t="shared" si="72"/>
        <v/>
      </c>
      <c r="C36" s="256" t="str">
        <f>IF(D36="","",VLOOKUP(D36,구분표!$A$3:$C$223,3,))</f>
        <v/>
      </c>
      <c r="D36" s="352"/>
      <c r="E36" s="301"/>
      <c r="F36" s="301"/>
      <c r="G36" s="301"/>
      <c r="H36" s="304"/>
      <c r="I36" s="386"/>
      <c r="J36" s="386"/>
      <c r="K36" s="348">
        <f t="shared" si="14"/>
        <v>0</v>
      </c>
      <c r="L36" s="292"/>
      <c r="M36" s="292"/>
      <c r="N36" s="464">
        <f t="shared" si="15"/>
        <v>0</v>
      </c>
      <c r="O36" s="382">
        <f t="shared" si="73"/>
        <v>0</v>
      </c>
      <c r="P36" s="383"/>
      <c r="Q36" s="334"/>
      <c r="R36" s="465">
        <f t="shared" si="17"/>
        <v>0</v>
      </c>
      <c r="S36" s="384" t="str">
        <f t="shared" si="42"/>
        <v>X</v>
      </c>
      <c r="T36" s="354"/>
      <c r="U36" s="353"/>
      <c r="V36" s="257"/>
      <c r="W36" s="303"/>
      <c r="X36" s="341"/>
      <c r="Y36" s="302"/>
      <c r="Z36" s="297">
        <f t="shared" si="2"/>
        <v>0</v>
      </c>
      <c r="AA36" s="297">
        <f t="shared" si="3"/>
        <v>0</v>
      </c>
      <c r="AB36" s="303" t="str">
        <f t="shared" si="4"/>
        <v>OK</v>
      </c>
      <c r="AC36" s="341"/>
      <c r="AD36" s="302"/>
      <c r="AE36" s="297">
        <f t="shared" si="5"/>
        <v>0</v>
      </c>
      <c r="AF36" s="297">
        <f t="shared" si="80"/>
        <v>0</v>
      </c>
      <c r="AG36" s="303" t="str">
        <f t="shared" si="81"/>
        <v>OK</v>
      </c>
      <c r="AH36" s="341"/>
      <c r="AI36" s="197" t="str">
        <f t="shared" si="76"/>
        <v/>
      </c>
      <c r="AJ36" s="341"/>
      <c r="AK36" s="307" t="str">
        <f t="shared" si="77"/>
        <v/>
      </c>
      <c r="AL36" s="293" t="str">
        <f t="shared" si="10"/>
        <v/>
      </c>
      <c r="AM36" s="341"/>
      <c r="AN36" s="303" t="str">
        <f t="array" ref="AN36">IF(D36="","",INDEX(구분표!$I$2:$I$319, MATCH(1,(구분표!$E$2:$E$319='1추일출'!C36)*(구분표!$F$2:$F$319='1추일출'!D36)*(구분표!$G$2:$G$319='1추일출'!B36),0)))</f>
        <v/>
      </c>
      <c r="AO36" s="341"/>
      <c r="AP36" s="303"/>
      <c r="AQ36" s="341"/>
      <c r="AR36" s="173">
        <f t="shared" si="78"/>
        <v>0</v>
      </c>
      <c r="AS36" s="173">
        <f t="shared" si="79"/>
        <v>0</v>
      </c>
    </row>
    <row r="37" spans="1:45" ht="60" customHeight="1">
      <c r="A37" s="301">
        <f>COUNTA($C$8:C37)-COUNTBLANK($C$8:C37)+2</f>
        <v>0</v>
      </c>
      <c r="B37" s="256" t="str">
        <f t="shared" si="72"/>
        <v/>
      </c>
      <c r="C37" s="256" t="str">
        <f>IF(D37="","",VLOOKUP(D37,구분표!$A$3:$C$223,3,))</f>
        <v/>
      </c>
      <c r="D37" s="352"/>
      <c r="E37" s="301"/>
      <c r="F37" s="301"/>
      <c r="G37" s="301"/>
      <c r="H37" s="304"/>
      <c r="I37" s="386"/>
      <c r="J37" s="386"/>
      <c r="K37" s="348">
        <f t="shared" si="14"/>
        <v>0</v>
      </c>
      <c r="L37" s="292"/>
      <c r="M37" s="292"/>
      <c r="N37" s="464">
        <f t="shared" si="15"/>
        <v>0</v>
      </c>
      <c r="O37" s="382">
        <f t="shared" si="73"/>
        <v>0</v>
      </c>
      <c r="P37" s="383"/>
      <c r="Q37" s="334"/>
      <c r="R37" s="465">
        <f t="shared" si="17"/>
        <v>0</v>
      </c>
      <c r="S37" s="384" t="str">
        <f t="shared" si="42"/>
        <v>X</v>
      </c>
      <c r="T37" s="354"/>
      <c r="U37" s="353"/>
      <c r="V37" s="257"/>
      <c r="W37" s="303"/>
      <c r="X37" s="341"/>
      <c r="Y37" s="302"/>
      <c r="Z37" s="297">
        <f t="shared" si="2"/>
        <v>0</v>
      </c>
      <c r="AA37" s="297">
        <f t="shared" si="3"/>
        <v>0</v>
      </c>
      <c r="AB37" s="303" t="str">
        <f t="shared" si="4"/>
        <v>OK</v>
      </c>
      <c r="AC37" s="341"/>
      <c r="AD37" s="302"/>
      <c r="AE37" s="297">
        <f t="shared" si="5"/>
        <v>0</v>
      </c>
      <c r="AF37" s="297">
        <f t="shared" si="80"/>
        <v>0</v>
      </c>
      <c r="AG37" s="303" t="str">
        <f t="shared" si="81"/>
        <v>OK</v>
      </c>
      <c r="AH37" s="341"/>
      <c r="AI37" s="197" t="str">
        <f t="shared" si="76"/>
        <v/>
      </c>
      <c r="AJ37" s="341"/>
      <c r="AK37" s="307" t="str">
        <f t="shared" si="77"/>
        <v/>
      </c>
      <c r="AL37" s="293" t="str">
        <f t="shared" si="10"/>
        <v/>
      </c>
      <c r="AM37" s="341"/>
      <c r="AN37" s="303" t="str">
        <f t="array" ref="AN37">IF(D37="","",INDEX(구분표!$I$2:$I$319, MATCH(1,(구분표!$E$2:$E$319='1추일출'!C37)*(구분표!$F$2:$F$319='1추일출'!D37)*(구분표!$G$2:$G$319='1추일출'!B37),0)))</f>
        <v/>
      </c>
      <c r="AO37" s="341"/>
      <c r="AP37" s="303"/>
      <c r="AQ37" s="341"/>
      <c r="AR37" s="173">
        <f t="shared" si="78"/>
        <v>0</v>
      </c>
      <c r="AS37" s="173">
        <f t="shared" si="79"/>
        <v>0</v>
      </c>
    </row>
    <row r="38" spans="1:45" ht="60" customHeight="1">
      <c r="A38" s="301">
        <f>COUNTA($C$8:C38)-COUNTBLANK($C$8:C38)+2</f>
        <v>0</v>
      </c>
      <c r="B38" s="256" t="str">
        <f t="shared" si="72"/>
        <v/>
      </c>
      <c r="C38" s="256" t="str">
        <f>IF(D38="","",VLOOKUP(D38,구분표!$A$3:$C$223,3,))</f>
        <v/>
      </c>
      <c r="D38" s="352"/>
      <c r="E38" s="301"/>
      <c r="F38" s="301"/>
      <c r="G38" s="301"/>
      <c r="H38" s="304"/>
      <c r="I38" s="386"/>
      <c r="J38" s="386"/>
      <c r="K38" s="348">
        <f t="shared" si="14"/>
        <v>0</v>
      </c>
      <c r="L38" s="292"/>
      <c r="M38" s="292"/>
      <c r="N38" s="464">
        <f t="shared" si="15"/>
        <v>0</v>
      </c>
      <c r="O38" s="382">
        <f t="shared" si="73"/>
        <v>0</v>
      </c>
      <c r="P38" s="383"/>
      <c r="Q38" s="334"/>
      <c r="R38" s="465">
        <f t="shared" si="17"/>
        <v>0</v>
      </c>
      <c r="S38" s="384" t="str">
        <f t="shared" si="42"/>
        <v>X</v>
      </c>
      <c r="T38" s="354"/>
      <c r="U38" s="353"/>
      <c r="V38" s="257"/>
      <c r="W38" s="303"/>
      <c r="X38" s="341"/>
      <c r="Y38" s="302"/>
      <c r="Z38" s="297">
        <f t="shared" si="2"/>
        <v>0</v>
      </c>
      <c r="AA38" s="297">
        <f t="shared" si="3"/>
        <v>0</v>
      </c>
      <c r="AB38" s="303" t="str">
        <f t="shared" si="4"/>
        <v>OK</v>
      </c>
      <c r="AC38" s="341"/>
      <c r="AD38" s="302"/>
      <c r="AE38" s="297">
        <f t="shared" si="5"/>
        <v>0</v>
      </c>
      <c r="AF38" s="297">
        <f t="shared" si="80"/>
        <v>0</v>
      </c>
      <c r="AG38" s="303" t="str">
        <f t="shared" si="81"/>
        <v>OK</v>
      </c>
      <c r="AH38" s="341"/>
      <c r="AI38" s="197" t="str">
        <f t="shared" si="76"/>
        <v/>
      </c>
      <c r="AJ38" s="341"/>
      <c r="AK38" s="307" t="str">
        <f t="shared" si="77"/>
        <v/>
      </c>
      <c r="AL38" s="293" t="str">
        <f t="shared" si="10"/>
        <v/>
      </c>
      <c r="AM38" s="341"/>
      <c r="AN38" s="303" t="str">
        <f t="array" ref="AN38">IF(D38="","",INDEX(구분표!$I$2:$I$319, MATCH(1,(구분표!$E$2:$E$319='1추일출'!C38)*(구분표!$F$2:$F$319='1추일출'!D38)*(구분표!$G$2:$G$319='1추일출'!B38),0)))</f>
        <v/>
      </c>
      <c r="AO38" s="341"/>
      <c r="AP38" s="303"/>
      <c r="AQ38" s="341"/>
      <c r="AR38" s="173">
        <f t="shared" si="78"/>
        <v>0</v>
      </c>
      <c r="AS38" s="173">
        <f t="shared" si="79"/>
        <v>0</v>
      </c>
    </row>
    <row r="39" spans="1:45" ht="60" customHeight="1">
      <c r="A39" s="301">
        <f>COUNTA($C$8:C39)-COUNTBLANK($C$8:C39)+2</f>
        <v>0</v>
      </c>
      <c r="B39" s="256" t="str">
        <f t="shared" si="72"/>
        <v/>
      </c>
      <c r="C39" s="256" t="str">
        <f>IF(D39="","",VLOOKUP(D39,구분표!$A$3:$C$223,3,))</f>
        <v/>
      </c>
      <c r="D39" s="256"/>
      <c r="E39" s="301"/>
      <c r="F39" s="301"/>
      <c r="G39" s="301"/>
      <c r="H39" s="304"/>
      <c r="I39" s="292"/>
      <c r="J39" s="292"/>
      <c r="K39" s="348">
        <f t="shared" si="14"/>
        <v>0</v>
      </c>
      <c r="L39" s="292"/>
      <c r="M39" s="292"/>
      <c r="N39" s="464">
        <f t="shared" si="15"/>
        <v>0</v>
      </c>
      <c r="O39" s="382">
        <f t="shared" ref="O39" si="83">R39-N39</f>
        <v>0</v>
      </c>
      <c r="P39" s="383"/>
      <c r="Q39" s="334"/>
      <c r="R39" s="465">
        <f t="shared" si="17"/>
        <v>0</v>
      </c>
      <c r="S39" s="384" t="str">
        <f t="shared" ref="S39" si="84">IF(AND((N39=0),(R39&gt;0)),"O",IF(AND((L39&lt;0),(N39-R39&lt;0)),"O","X"))</f>
        <v>X</v>
      </c>
      <c r="T39" s="354"/>
      <c r="U39" s="353"/>
      <c r="V39" s="257"/>
      <c r="W39" s="188"/>
      <c r="Y39" s="196"/>
      <c r="Z39" s="297">
        <f t="shared" si="2"/>
        <v>0</v>
      </c>
      <c r="AA39" s="297">
        <f t="shared" si="3"/>
        <v>0</v>
      </c>
      <c r="AB39" s="303" t="str">
        <f t="shared" si="4"/>
        <v>OK</v>
      </c>
      <c r="AC39" s="341"/>
      <c r="AD39" s="303"/>
      <c r="AE39" s="297">
        <f t="shared" si="5"/>
        <v>0</v>
      </c>
      <c r="AF39" s="297">
        <f t="shared" si="80"/>
        <v>0</v>
      </c>
      <c r="AG39" s="303" t="str">
        <f t="shared" si="81"/>
        <v>OK</v>
      </c>
      <c r="AI39" s="197" t="str">
        <f t="shared" si="76"/>
        <v/>
      </c>
      <c r="AK39" s="231" t="str">
        <f t="shared" si="77"/>
        <v/>
      </c>
      <c r="AL39" s="187" t="str">
        <f t="shared" si="10"/>
        <v/>
      </c>
      <c r="AN39" s="188" t="str">
        <f t="array" ref="AN39">IF(D39="","",INDEX(구분표!$I$2:$I$319, MATCH(1,(구분표!$E$2:$E$319='1추일출'!C39)*(구분표!$F$2:$F$319='1추일출'!D39)*(구분표!$G$2:$G$319='1추일출'!B39),0)))</f>
        <v/>
      </c>
      <c r="AP39" s="188"/>
      <c r="AR39" s="173">
        <f t="shared" si="78"/>
        <v>0</v>
      </c>
      <c r="AS39" s="173">
        <f t="shared" si="79"/>
        <v>0</v>
      </c>
    </row>
    <row r="40" spans="1:45" ht="60" customHeight="1">
      <c r="A40" s="372"/>
      <c r="B40" s="255" t="s">
        <v>435</v>
      </c>
      <c r="C40" s="255"/>
      <c r="D40" s="255"/>
      <c r="E40" s="255"/>
      <c r="F40" s="255"/>
      <c r="G40" s="255"/>
      <c r="H40" s="385"/>
      <c r="I40" s="374">
        <f t="shared" ref="I40:R40" si="85">SUBTOTAL(9,I41:I50)</f>
        <v>0</v>
      </c>
      <c r="J40" s="374">
        <f t="shared" si="85"/>
        <v>0</v>
      </c>
      <c r="K40" s="374">
        <f t="shared" si="85"/>
        <v>0</v>
      </c>
      <c r="L40" s="374">
        <f t="shared" si="85"/>
        <v>0</v>
      </c>
      <c r="M40" s="374">
        <f t="shared" si="85"/>
        <v>0</v>
      </c>
      <c r="N40" s="375">
        <f t="shared" si="85"/>
        <v>0</v>
      </c>
      <c r="O40" s="376">
        <f t="shared" si="85"/>
        <v>0</v>
      </c>
      <c r="P40" s="377">
        <f t="shared" si="85"/>
        <v>0</v>
      </c>
      <c r="Q40" s="333">
        <f t="shared" si="85"/>
        <v>0</v>
      </c>
      <c r="R40" s="376">
        <f t="shared" si="85"/>
        <v>0</v>
      </c>
      <c r="S40" s="378"/>
      <c r="T40" s="379"/>
      <c r="U40" s="380"/>
      <c r="V40" s="381"/>
      <c r="W40" s="188"/>
      <c r="Y40" s="196"/>
      <c r="Z40" s="297"/>
      <c r="AA40" s="297"/>
      <c r="AB40" s="303"/>
      <c r="AC40" s="341"/>
      <c r="AD40" s="302"/>
      <c r="AE40" s="297"/>
      <c r="AF40" s="297"/>
      <c r="AG40" s="188"/>
      <c r="AI40" s="197"/>
      <c r="AK40" s="194"/>
      <c r="AL40" s="187"/>
      <c r="AN40" s="188"/>
      <c r="AP40" s="188"/>
      <c r="AR40" s="252">
        <f>SUBTOTAL(9,AR41:AR50)</f>
        <v>0</v>
      </c>
      <c r="AS40" s="253">
        <f>SUBTOTAL(9,AS41:AS50)</f>
        <v>0</v>
      </c>
    </row>
    <row r="41" spans="1:45" ht="60" customHeight="1">
      <c r="A41" s="301">
        <f>COUNTA($C$8:C41)-COUNTBLANK($C$8:C41)+3</f>
        <v>0</v>
      </c>
      <c r="B41" s="256" t="str">
        <f>IF(C41="","",MID($B$40,2,7))</f>
        <v/>
      </c>
      <c r="C41" s="256" t="str">
        <f>IF(D41="","",VLOOKUP(D41,구분표!$A$3:$C$223,3,))</f>
        <v/>
      </c>
      <c r="D41" s="256"/>
      <c r="E41" s="301"/>
      <c r="F41" s="301"/>
      <c r="G41" s="301"/>
      <c r="H41" s="304"/>
      <c r="I41" s="292"/>
      <c r="J41" s="292"/>
      <c r="K41" s="348">
        <f t="shared" si="14"/>
        <v>0</v>
      </c>
      <c r="L41" s="292"/>
      <c r="M41" s="292"/>
      <c r="N41" s="464">
        <f>I41+L41+M41</f>
        <v>0</v>
      </c>
      <c r="O41" s="382">
        <f t="shared" ref="O41:O49" si="86">R41-N41</f>
        <v>0</v>
      </c>
      <c r="P41" s="383"/>
      <c r="Q41" s="334"/>
      <c r="R41" s="465">
        <f>I41+P41+Q41</f>
        <v>0</v>
      </c>
      <c r="S41" s="384" t="str">
        <f t="shared" ref="S41:S49" si="87">IF(AND((N41=0),(R41&gt;0)),"O",IF(AND((L41&lt;0),(N41-R41&lt;0)),"O","X"))</f>
        <v>X</v>
      </c>
      <c r="T41" s="387"/>
      <c r="U41" s="353"/>
      <c r="V41" s="257"/>
      <c r="W41" s="188"/>
      <c r="Y41" s="196"/>
      <c r="Z41" s="297">
        <f t="shared" si="2"/>
        <v>0</v>
      </c>
      <c r="AA41" s="297">
        <f t="shared" si="3"/>
        <v>0</v>
      </c>
      <c r="AB41" s="303" t="str">
        <f t="shared" si="4"/>
        <v>OK</v>
      </c>
      <c r="AC41" s="341"/>
      <c r="AD41" s="303"/>
      <c r="AE41" s="297">
        <f t="shared" si="5"/>
        <v>0</v>
      </c>
      <c r="AF41" s="297">
        <f t="shared" ref="AF41" si="88">IF($Y41="도비",SUM(P41:Q41),IF($W41="국도비","직접입력",SUM(P41:Q41)-AE41))</f>
        <v>0</v>
      </c>
      <c r="AG41" s="303" t="str">
        <f t="shared" ref="AG41" si="89">IF(SUM(P41:Q41)=SUM(AE41:AF41),"OK","검토")</f>
        <v>OK</v>
      </c>
      <c r="AI41" s="197" t="str">
        <f t="shared" ref="AI41:AI50" si="90">IF(W41="","",IF(W41="도비","세입없음","직접입력"))</f>
        <v/>
      </c>
      <c r="AK41" s="194" t="str">
        <f t="shared" ref="AK41:AK50" si="91">IF(AI41="","",COUNTIF($AI$7:$AI$112,AI41))</f>
        <v/>
      </c>
      <c r="AL41" s="187" t="str">
        <f t="shared" si="10"/>
        <v/>
      </c>
      <c r="AN41" s="188" t="str">
        <f t="array" ref="AN41">IF(D41="","",INDEX(구분표!$I$2:$I$319, MATCH(1,(구분표!$E$2:$E$319='1추일출'!C41)*(구분표!$F$2:$F$319='1추일출'!D41)*(구분표!$G$2:$G$319='1추일출'!B41),0)))</f>
        <v/>
      </c>
      <c r="AP41" s="188"/>
      <c r="AR41" s="173">
        <f t="shared" ref="AR41:AR50" si="92">IF(O41&lt;0,O41,0)</f>
        <v>0</v>
      </c>
      <c r="AS41" s="173">
        <f t="shared" ref="AS41:AS50" si="93">IF(O41&gt;0,O41,0)</f>
        <v>0</v>
      </c>
    </row>
    <row r="42" spans="1:45" ht="60" customHeight="1">
      <c r="A42" s="301">
        <f>COUNTA($C$8:C42)-COUNTBLANK($C$8:C42)+3</f>
        <v>0</v>
      </c>
      <c r="B42" s="256" t="str">
        <f t="shared" ref="B42:B49" si="94">IF(C42="","",MID($B$40,2,7))</f>
        <v/>
      </c>
      <c r="C42" s="256" t="str">
        <f>IF(D42="","",VLOOKUP(D42,구분표!$A$3:$C$223,3,))</f>
        <v/>
      </c>
      <c r="D42" s="256"/>
      <c r="E42" s="301"/>
      <c r="F42" s="301"/>
      <c r="G42" s="301"/>
      <c r="H42" s="304"/>
      <c r="I42" s="292"/>
      <c r="J42" s="292"/>
      <c r="K42" s="348">
        <f t="shared" si="14"/>
        <v>0</v>
      </c>
      <c r="L42" s="292"/>
      <c r="M42" s="292"/>
      <c r="N42" s="464">
        <f t="shared" si="15"/>
        <v>0</v>
      </c>
      <c r="O42" s="382">
        <f t="shared" si="86"/>
        <v>0</v>
      </c>
      <c r="P42" s="383"/>
      <c r="Q42" s="334"/>
      <c r="R42" s="465">
        <f t="shared" si="17"/>
        <v>0</v>
      </c>
      <c r="S42" s="384" t="str">
        <f t="shared" si="87"/>
        <v>X</v>
      </c>
      <c r="T42" s="354"/>
      <c r="U42" s="353"/>
      <c r="V42" s="257"/>
      <c r="W42" s="303"/>
      <c r="X42" s="341"/>
      <c r="Y42" s="302"/>
      <c r="Z42" s="297">
        <f t="shared" si="2"/>
        <v>0</v>
      </c>
      <c r="AA42" s="297">
        <f t="shared" si="3"/>
        <v>0</v>
      </c>
      <c r="AB42" s="303" t="str">
        <f t="shared" si="4"/>
        <v>OK</v>
      </c>
      <c r="AC42" s="341"/>
      <c r="AD42" s="302"/>
      <c r="AE42" s="297">
        <f t="shared" si="5"/>
        <v>0</v>
      </c>
      <c r="AF42" s="297">
        <f t="shared" ref="AF42:AF50" si="95">IF($Y42="도비",SUM(P42:Q42),IF($W42="국도비","직접입력",SUM(P42:Q42)-AE42))</f>
        <v>0</v>
      </c>
      <c r="AG42" s="303" t="str">
        <f t="shared" ref="AG42:AG50" si="96">IF(SUM(P42:Q42)=SUM(AE42:AF42),"OK","검토")</f>
        <v>OK</v>
      </c>
      <c r="AH42" s="341"/>
      <c r="AI42" s="197" t="str">
        <f t="shared" si="90"/>
        <v/>
      </c>
      <c r="AJ42" s="341"/>
      <c r="AK42" s="307" t="str">
        <f t="shared" si="91"/>
        <v/>
      </c>
      <c r="AL42" s="293" t="str">
        <f t="shared" si="10"/>
        <v/>
      </c>
      <c r="AM42" s="341"/>
      <c r="AN42" s="303" t="str">
        <f t="array" ref="AN42">IF(D42="","",INDEX(구분표!$I$2:$I$319, MATCH(1,(구분표!$E$2:$E$319='1추일출'!C42)*(구분표!$F$2:$F$319='1추일출'!D42)*(구분표!$G$2:$G$319='1추일출'!B42),0)))</f>
        <v/>
      </c>
      <c r="AO42" s="341"/>
      <c r="AP42" s="303"/>
      <c r="AQ42" s="341"/>
      <c r="AR42" s="173">
        <f t="shared" si="92"/>
        <v>0</v>
      </c>
      <c r="AS42" s="173">
        <f t="shared" si="93"/>
        <v>0</v>
      </c>
    </row>
    <row r="43" spans="1:45" ht="60" customHeight="1">
      <c r="A43" s="301">
        <f>COUNTA($C$8:C43)-COUNTBLANK($C$8:C43)+3</f>
        <v>0</v>
      </c>
      <c r="B43" s="256" t="str">
        <f t="shared" si="94"/>
        <v/>
      </c>
      <c r="C43" s="256" t="str">
        <f>IF(D43="","",VLOOKUP(D43,구분표!$A$3:$C$223,3,))</f>
        <v/>
      </c>
      <c r="D43" s="256"/>
      <c r="E43" s="301"/>
      <c r="F43" s="301"/>
      <c r="G43" s="301"/>
      <c r="H43" s="304"/>
      <c r="I43" s="292"/>
      <c r="J43" s="292"/>
      <c r="K43" s="348">
        <f t="shared" si="14"/>
        <v>0</v>
      </c>
      <c r="L43" s="292"/>
      <c r="M43" s="292"/>
      <c r="N43" s="464">
        <f t="shared" si="15"/>
        <v>0</v>
      </c>
      <c r="O43" s="382">
        <f t="shared" si="86"/>
        <v>0</v>
      </c>
      <c r="P43" s="383"/>
      <c r="Q43" s="334"/>
      <c r="R43" s="465">
        <f t="shared" si="17"/>
        <v>0</v>
      </c>
      <c r="S43" s="384" t="str">
        <f t="shared" si="87"/>
        <v>X</v>
      </c>
      <c r="T43" s="354"/>
      <c r="U43" s="353"/>
      <c r="V43" s="257"/>
      <c r="W43" s="196"/>
      <c r="Y43" s="196"/>
      <c r="Z43" s="297">
        <f t="shared" si="2"/>
        <v>0</v>
      </c>
      <c r="AA43" s="297">
        <f t="shared" si="3"/>
        <v>0</v>
      </c>
      <c r="AB43" s="303" t="str">
        <f t="shared" si="4"/>
        <v>OK</v>
      </c>
      <c r="AC43" s="341"/>
      <c r="AD43" s="302"/>
      <c r="AE43" s="297">
        <f t="shared" si="5"/>
        <v>0</v>
      </c>
      <c r="AF43" s="297">
        <f t="shared" si="95"/>
        <v>0</v>
      </c>
      <c r="AG43" s="303" t="str">
        <f t="shared" si="96"/>
        <v>OK</v>
      </c>
      <c r="AI43" s="197" t="str">
        <f t="shared" si="90"/>
        <v/>
      </c>
      <c r="AK43" s="194" t="str">
        <f t="shared" si="91"/>
        <v/>
      </c>
      <c r="AL43" s="187" t="str">
        <f t="shared" si="10"/>
        <v/>
      </c>
      <c r="AN43" s="188" t="str">
        <f t="array" ref="AN43">IF(D43="","",INDEX(구분표!$I$2:$I$319, MATCH(1,(구분표!$E$2:$E$319='1추일출'!C43)*(구분표!$F$2:$F$319='1추일출'!D43)*(구분표!$G$2:$G$319='1추일출'!B43),0)))</f>
        <v/>
      </c>
      <c r="AP43" s="188"/>
      <c r="AR43" s="173">
        <f t="shared" si="92"/>
        <v>0</v>
      </c>
      <c r="AS43" s="173">
        <f t="shared" si="93"/>
        <v>0</v>
      </c>
    </row>
    <row r="44" spans="1:45" ht="60" customHeight="1">
      <c r="A44" s="301">
        <f>COUNTA($C$8:C44)-COUNTBLANK($C$8:C44)+3</f>
        <v>0</v>
      </c>
      <c r="B44" s="256" t="str">
        <f t="shared" si="94"/>
        <v/>
      </c>
      <c r="C44" s="256" t="str">
        <f>IF(D44="","",VLOOKUP(D44,구분표!$A$3:$C$223,3,))</f>
        <v/>
      </c>
      <c r="D44" s="256"/>
      <c r="E44" s="301"/>
      <c r="F44" s="301"/>
      <c r="G44" s="301"/>
      <c r="H44" s="304"/>
      <c r="I44" s="292"/>
      <c r="J44" s="292"/>
      <c r="K44" s="348">
        <f t="shared" si="14"/>
        <v>0</v>
      </c>
      <c r="L44" s="292"/>
      <c r="M44" s="292"/>
      <c r="N44" s="464">
        <f t="shared" si="15"/>
        <v>0</v>
      </c>
      <c r="O44" s="382">
        <f t="shared" si="86"/>
        <v>0</v>
      </c>
      <c r="P44" s="383"/>
      <c r="Q44" s="334"/>
      <c r="R44" s="465">
        <f t="shared" si="17"/>
        <v>0</v>
      </c>
      <c r="S44" s="384" t="str">
        <f t="shared" si="87"/>
        <v>X</v>
      </c>
      <c r="T44" s="388"/>
      <c r="U44" s="354"/>
      <c r="V44" s="388"/>
      <c r="W44" s="303"/>
      <c r="X44" s="341"/>
      <c r="Y44" s="302"/>
      <c r="Z44" s="297">
        <f t="shared" si="2"/>
        <v>0</v>
      </c>
      <c r="AA44" s="297">
        <f t="shared" si="3"/>
        <v>0</v>
      </c>
      <c r="AB44" s="303" t="str">
        <f t="shared" si="4"/>
        <v>OK</v>
      </c>
      <c r="AC44" s="341"/>
      <c r="AD44" s="302"/>
      <c r="AE44" s="297">
        <f t="shared" si="5"/>
        <v>0</v>
      </c>
      <c r="AF44" s="297">
        <f t="shared" si="95"/>
        <v>0</v>
      </c>
      <c r="AG44" s="303" t="str">
        <f t="shared" si="96"/>
        <v>OK</v>
      </c>
      <c r="AH44" s="341"/>
      <c r="AI44" s="197" t="str">
        <f t="shared" si="90"/>
        <v/>
      </c>
      <c r="AJ44" s="341"/>
      <c r="AK44" s="307" t="str">
        <f t="shared" si="91"/>
        <v/>
      </c>
      <c r="AL44" s="293" t="str">
        <f t="shared" si="10"/>
        <v/>
      </c>
      <c r="AM44" s="341"/>
      <c r="AN44" s="303" t="str">
        <f t="array" ref="AN44">IF(D44="","",INDEX(구분표!$I$2:$I$319, MATCH(1,(구분표!$E$2:$E$319='1추일출'!C44)*(구분표!$F$2:$F$319='1추일출'!D44)*(구분표!$G$2:$G$319='1추일출'!B44),0)))</f>
        <v/>
      </c>
      <c r="AO44" s="341"/>
      <c r="AP44" s="303"/>
      <c r="AQ44" s="341"/>
      <c r="AR44" s="173">
        <f t="shared" si="92"/>
        <v>0</v>
      </c>
      <c r="AS44" s="173">
        <f t="shared" si="93"/>
        <v>0</v>
      </c>
    </row>
    <row r="45" spans="1:45" ht="60" customHeight="1">
      <c r="A45" s="301">
        <f>COUNTA($C$8:C45)-COUNTBLANK($C$8:C45)+3</f>
        <v>0</v>
      </c>
      <c r="B45" s="256" t="str">
        <f t="shared" si="94"/>
        <v/>
      </c>
      <c r="C45" s="256" t="str">
        <f>IF(D45="","",VLOOKUP(D45,구분표!$A$3:$C$223,3,))</f>
        <v/>
      </c>
      <c r="D45" s="256"/>
      <c r="E45" s="301"/>
      <c r="F45" s="301"/>
      <c r="G45" s="301"/>
      <c r="H45" s="304"/>
      <c r="I45" s="292"/>
      <c r="J45" s="292"/>
      <c r="K45" s="348">
        <f t="shared" si="14"/>
        <v>0</v>
      </c>
      <c r="L45" s="292"/>
      <c r="M45" s="292"/>
      <c r="N45" s="464">
        <f t="shared" si="15"/>
        <v>0</v>
      </c>
      <c r="O45" s="382">
        <f t="shared" si="86"/>
        <v>0</v>
      </c>
      <c r="P45" s="383"/>
      <c r="Q45" s="334"/>
      <c r="R45" s="465">
        <f t="shared" si="17"/>
        <v>0</v>
      </c>
      <c r="S45" s="384" t="str">
        <f t="shared" si="87"/>
        <v>X</v>
      </c>
      <c r="T45" s="354"/>
      <c r="U45" s="353"/>
      <c r="V45" s="257"/>
      <c r="W45" s="188"/>
      <c r="Y45" s="196"/>
      <c r="Z45" s="297">
        <f t="shared" si="2"/>
        <v>0</v>
      </c>
      <c r="AA45" s="297">
        <f t="shared" si="3"/>
        <v>0</v>
      </c>
      <c r="AB45" s="303" t="str">
        <f t="shared" si="4"/>
        <v>OK</v>
      </c>
      <c r="AC45" s="341"/>
      <c r="AD45" s="302"/>
      <c r="AE45" s="297">
        <f t="shared" si="5"/>
        <v>0</v>
      </c>
      <c r="AF45" s="297">
        <f t="shared" si="95"/>
        <v>0</v>
      </c>
      <c r="AG45" s="303" t="str">
        <f t="shared" si="96"/>
        <v>OK</v>
      </c>
      <c r="AI45" s="197" t="str">
        <f t="shared" si="90"/>
        <v/>
      </c>
      <c r="AK45" s="231" t="str">
        <f t="shared" si="91"/>
        <v/>
      </c>
      <c r="AL45" s="187" t="str">
        <f t="shared" si="10"/>
        <v/>
      </c>
      <c r="AN45" s="188" t="str">
        <f t="array" ref="AN45">IF(D45="","",INDEX(구분표!$I$2:$I$319, MATCH(1,(구분표!$E$2:$E$319='1추일출'!C45)*(구분표!$F$2:$F$319='1추일출'!D45)*(구분표!$G$2:$G$319='1추일출'!B45),0)))</f>
        <v/>
      </c>
      <c r="AP45" s="188"/>
      <c r="AR45" s="173">
        <f t="shared" si="92"/>
        <v>0</v>
      </c>
      <c r="AS45" s="173">
        <f t="shared" si="93"/>
        <v>0</v>
      </c>
    </row>
    <row r="46" spans="1:45" ht="60" customHeight="1">
      <c r="A46" s="301">
        <f>COUNTA($C$8:C46)-COUNTBLANK($C$8:C46)+3</f>
        <v>0</v>
      </c>
      <c r="B46" s="256" t="str">
        <f t="shared" si="94"/>
        <v/>
      </c>
      <c r="C46" s="256" t="str">
        <f>IF(D46="","",VLOOKUP(D46,구분표!$A$3:$C$223,3,))</f>
        <v/>
      </c>
      <c r="D46" s="256"/>
      <c r="E46" s="301"/>
      <c r="F46" s="301"/>
      <c r="G46" s="301"/>
      <c r="H46" s="304"/>
      <c r="I46" s="292"/>
      <c r="J46" s="292"/>
      <c r="K46" s="348">
        <f t="shared" ref="K46" si="97">I46-J46</f>
        <v>0</v>
      </c>
      <c r="L46" s="292"/>
      <c r="M46" s="292"/>
      <c r="N46" s="464">
        <f t="shared" ref="N46" si="98">I46+L46+M46</f>
        <v>0</v>
      </c>
      <c r="O46" s="382">
        <f t="shared" si="86"/>
        <v>0</v>
      </c>
      <c r="P46" s="383"/>
      <c r="Q46" s="334"/>
      <c r="R46" s="465">
        <f t="shared" ref="R46" si="99">I46+P46+Q46</f>
        <v>0</v>
      </c>
      <c r="S46" s="384" t="str">
        <f t="shared" si="87"/>
        <v>X</v>
      </c>
      <c r="T46" s="354"/>
      <c r="U46" s="354"/>
      <c r="V46" s="257"/>
      <c r="W46" s="303"/>
      <c r="X46" s="341"/>
      <c r="Y46" s="302"/>
      <c r="Z46" s="297">
        <f t="shared" si="2"/>
        <v>0</v>
      </c>
      <c r="AA46" s="297">
        <f t="shared" si="3"/>
        <v>0</v>
      </c>
      <c r="AB46" s="303" t="str">
        <f t="shared" si="4"/>
        <v>OK</v>
      </c>
      <c r="AC46" s="341"/>
      <c r="AD46" s="302"/>
      <c r="AE46" s="297">
        <f t="shared" si="5"/>
        <v>0</v>
      </c>
      <c r="AF46" s="297">
        <f t="shared" si="95"/>
        <v>0</v>
      </c>
      <c r="AG46" s="303" t="str">
        <f t="shared" si="96"/>
        <v>OK</v>
      </c>
      <c r="AH46" s="341"/>
      <c r="AI46" s="197" t="str">
        <f t="shared" si="90"/>
        <v/>
      </c>
      <c r="AJ46" s="341"/>
      <c r="AK46" s="307" t="str">
        <f t="shared" si="91"/>
        <v/>
      </c>
      <c r="AL46" s="293" t="str">
        <f t="shared" ref="AL46" si="100">IF(Y46="","",IF(AND(Y46="도비",AI46="세입없음"),"OK",IF(AND(Y46&lt;&gt;"도비",AI46&lt;&gt;""),"OK","@@")))</f>
        <v/>
      </c>
      <c r="AM46" s="341"/>
      <c r="AN46" s="303" t="str">
        <f t="array" ref="AN46">IF(D46="","",INDEX(구분표!$I$2:$I$319, MATCH(1,(구분표!$E$2:$E$319='1추일출'!C46)*(구분표!$F$2:$F$319='1추일출'!D46)*(구분표!$G$2:$G$319='1추일출'!B46),0)))</f>
        <v/>
      </c>
      <c r="AO46" s="341"/>
      <c r="AP46" s="303"/>
      <c r="AQ46" s="341"/>
      <c r="AR46" s="173">
        <f t="shared" si="92"/>
        <v>0</v>
      </c>
      <c r="AS46" s="173">
        <f t="shared" si="93"/>
        <v>0</v>
      </c>
    </row>
    <row r="47" spans="1:45" ht="60" customHeight="1">
      <c r="A47" s="301">
        <f>COUNTA($C$8:C47)-COUNTBLANK($C$8:C47)+3</f>
        <v>0</v>
      </c>
      <c r="B47" s="256" t="str">
        <f t="shared" si="94"/>
        <v/>
      </c>
      <c r="C47" s="256" t="str">
        <f>IF(D47="","",VLOOKUP(D47,구분표!$A$3:$C$223,3,))</f>
        <v/>
      </c>
      <c r="D47" s="256"/>
      <c r="E47" s="301"/>
      <c r="F47" s="301"/>
      <c r="G47" s="301"/>
      <c r="H47" s="304"/>
      <c r="I47" s="292"/>
      <c r="J47" s="292"/>
      <c r="K47" s="348">
        <f t="shared" ref="K47" si="101">I47-J47</f>
        <v>0</v>
      </c>
      <c r="L47" s="292"/>
      <c r="M47" s="292"/>
      <c r="N47" s="464">
        <f t="shared" ref="N47" si="102">I47+L47+M47</f>
        <v>0</v>
      </c>
      <c r="O47" s="382">
        <f t="shared" si="86"/>
        <v>0</v>
      </c>
      <c r="P47" s="383"/>
      <c r="Q47" s="334"/>
      <c r="R47" s="465">
        <f t="shared" ref="R47" si="103">I47+P47+Q47</f>
        <v>0</v>
      </c>
      <c r="S47" s="384" t="str">
        <f t="shared" si="87"/>
        <v>X</v>
      </c>
      <c r="T47" s="354"/>
      <c r="U47" s="353"/>
      <c r="V47" s="257"/>
      <c r="W47" s="188"/>
      <c r="Y47" s="196"/>
      <c r="Z47" s="297">
        <f t="shared" si="2"/>
        <v>0</v>
      </c>
      <c r="AA47" s="297">
        <f t="shared" si="3"/>
        <v>0</v>
      </c>
      <c r="AB47" s="303" t="str">
        <f t="shared" si="4"/>
        <v>OK</v>
      </c>
      <c r="AC47" s="341"/>
      <c r="AD47" s="302"/>
      <c r="AE47" s="297">
        <f t="shared" si="5"/>
        <v>0</v>
      </c>
      <c r="AF47" s="297">
        <f t="shared" si="95"/>
        <v>0</v>
      </c>
      <c r="AG47" s="303" t="str">
        <f t="shared" si="96"/>
        <v>OK</v>
      </c>
      <c r="AI47" s="197" t="str">
        <f t="shared" si="90"/>
        <v/>
      </c>
      <c r="AK47" s="231" t="str">
        <f t="shared" si="91"/>
        <v/>
      </c>
      <c r="AL47" s="187" t="str">
        <f t="shared" ref="AL47" si="104">IF(Y47="","",IF(AND(Y47="도비",AI47="세입없음"),"OK",IF(AND(Y47&lt;&gt;"도비",AI47&lt;&gt;""),"OK","@@")))</f>
        <v/>
      </c>
      <c r="AN47" s="188" t="str">
        <f t="array" ref="AN47">IF(D47="","",INDEX(구분표!$I$2:$I$319, MATCH(1,(구분표!$E$2:$E$319='1추일출'!C47)*(구분표!$F$2:$F$319='1추일출'!D47)*(구분표!$G$2:$G$319='1추일출'!B47),0)))</f>
        <v/>
      </c>
      <c r="AP47" s="188"/>
      <c r="AR47" s="173">
        <f t="shared" si="92"/>
        <v>0</v>
      </c>
      <c r="AS47" s="173">
        <f t="shared" si="93"/>
        <v>0</v>
      </c>
    </row>
    <row r="48" spans="1:45" ht="60" customHeight="1">
      <c r="A48" s="301">
        <f>COUNTA($C$8:C48)-COUNTBLANK($C$8:C48)+3</f>
        <v>0</v>
      </c>
      <c r="B48" s="256" t="str">
        <f t="shared" si="94"/>
        <v/>
      </c>
      <c r="C48" s="256" t="str">
        <f>IF(D48="","",VLOOKUP(D48,구분표!$A$3:$C$223,3,))</f>
        <v/>
      </c>
      <c r="D48" s="256"/>
      <c r="E48" s="301"/>
      <c r="F48" s="301"/>
      <c r="G48" s="301"/>
      <c r="H48" s="304"/>
      <c r="I48" s="292"/>
      <c r="J48" s="292"/>
      <c r="K48" s="348">
        <f t="shared" si="14"/>
        <v>0</v>
      </c>
      <c r="L48" s="292"/>
      <c r="M48" s="292"/>
      <c r="N48" s="464">
        <f t="shared" si="15"/>
        <v>0</v>
      </c>
      <c r="O48" s="382">
        <f t="shared" si="86"/>
        <v>0</v>
      </c>
      <c r="P48" s="383"/>
      <c r="Q48" s="334"/>
      <c r="R48" s="465">
        <f t="shared" si="17"/>
        <v>0</v>
      </c>
      <c r="S48" s="384" t="str">
        <f t="shared" si="87"/>
        <v>X</v>
      </c>
      <c r="T48" s="354"/>
      <c r="U48" s="353"/>
      <c r="V48" s="257"/>
      <c r="W48" s="196"/>
      <c r="X48" s="261"/>
      <c r="Y48" s="196"/>
      <c r="Z48" s="297">
        <f t="shared" si="2"/>
        <v>0</v>
      </c>
      <c r="AA48" s="297">
        <f t="shared" si="3"/>
        <v>0</v>
      </c>
      <c r="AB48" s="303" t="str">
        <f t="shared" si="4"/>
        <v>OK</v>
      </c>
      <c r="AC48" s="341"/>
      <c r="AD48" s="302"/>
      <c r="AE48" s="297">
        <f t="shared" si="5"/>
        <v>0</v>
      </c>
      <c r="AF48" s="297">
        <f t="shared" si="95"/>
        <v>0</v>
      </c>
      <c r="AG48" s="303" t="str">
        <f t="shared" si="96"/>
        <v>OK</v>
      </c>
      <c r="AI48" s="197" t="str">
        <f t="shared" si="90"/>
        <v/>
      </c>
      <c r="AK48" s="194" t="str">
        <f t="shared" si="91"/>
        <v/>
      </c>
      <c r="AL48" s="187" t="str">
        <f t="shared" si="10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/>
      </c>
      <c r="AP48" s="188"/>
      <c r="AR48" s="173">
        <f t="shared" si="92"/>
        <v>0</v>
      </c>
      <c r="AS48" s="173">
        <f t="shared" si="93"/>
        <v>0</v>
      </c>
    </row>
    <row r="49" spans="1:45" ht="60" customHeight="1">
      <c r="A49" s="301">
        <f>COUNTA($C$8:C49)-COUNTBLANK($C$8:C49)+3</f>
        <v>0</v>
      </c>
      <c r="B49" s="256" t="str">
        <f t="shared" si="94"/>
        <v/>
      </c>
      <c r="C49" s="256" t="str">
        <f>IF(D49="","",VLOOKUP(D49,구분표!$A$3:$C$223,3,))</f>
        <v/>
      </c>
      <c r="D49" s="256"/>
      <c r="E49" s="301"/>
      <c r="F49" s="301"/>
      <c r="G49" s="301"/>
      <c r="H49" s="304"/>
      <c r="I49" s="292"/>
      <c r="J49" s="292"/>
      <c r="K49" s="348">
        <f t="shared" ref="K49" si="105">I49-J49</f>
        <v>0</v>
      </c>
      <c r="L49" s="292"/>
      <c r="M49" s="292"/>
      <c r="N49" s="464">
        <f t="shared" ref="N49" si="106">I49+L49+M49</f>
        <v>0</v>
      </c>
      <c r="O49" s="382">
        <f t="shared" si="86"/>
        <v>0</v>
      </c>
      <c r="P49" s="383"/>
      <c r="Q49" s="334"/>
      <c r="R49" s="465">
        <f t="shared" ref="R49" si="107">I49+P49+Q49</f>
        <v>0</v>
      </c>
      <c r="S49" s="384" t="str">
        <f t="shared" si="87"/>
        <v>X</v>
      </c>
      <c r="T49" s="354"/>
      <c r="U49" s="353"/>
      <c r="V49" s="257"/>
      <c r="W49" s="188"/>
      <c r="Y49" s="196"/>
      <c r="Z49" s="297">
        <f t="shared" si="2"/>
        <v>0</v>
      </c>
      <c r="AA49" s="297">
        <f t="shared" si="3"/>
        <v>0</v>
      </c>
      <c r="AB49" s="303" t="str">
        <f t="shared" si="4"/>
        <v>OK</v>
      </c>
      <c r="AC49" s="341"/>
      <c r="AD49" s="302"/>
      <c r="AE49" s="297">
        <f t="shared" si="5"/>
        <v>0</v>
      </c>
      <c r="AF49" s="297">
        <f t="shared" si="95"/>
        <v>0</v>
      </c>
      <c r="AG49" s="303" t="str">
        <f t="shared" si="96"/>
        <v>OK</v>
      </c>
      <c r="AI49" s="197" t="str">
        <f t="shared" si="90"/>
        <v/>
      </c>
      <c r="AK49" s="231" t="str">
        <f t="shared" si="91"/>
        <v/>
      </c>
      <c r="AL49" s="187" t="str">
        <f t="shared" ref="AL49" si="108">IF(Y49="","",IF(AND(Y49="도비",AI49="세입없음"),"OK",IF(AND(Y49&lt;&gt;"도비",AI49&lt;&gt;""),"OK","@@")))</f>
        <v/>
      </c>
      <c r="AN49" s="188" t="str">
        <f t="array" ref="AN49">IF(D49="","",INDEX(구분표!$I$2:$I$319, MATCH(1,(구분표!$E$2:$E$319='1추일출'!C49)*(구분표!$F$2:$F$319='1추일출'!D49)*(구분표!$G$2:$G$319='1추일출'!B49),0)))</f>
        <v/>
      </c>
      <c r="AP49" s="188"/>
      <c r="AR49" s="173">
        <f t="shared" si="92"/>
        <v>0</v>
      </c>
      <c r="AS49" s="173">
        <f t="shared" si="93"/>
        <v>0</v>
      </c>
    </row>
    <row r="50" spans="1:45" ht="60" customHeight="1">
      <c r="A50" s="301">
        <f>COUNTA($C$8:C50)-COUNTBLANK($C$8:C50)+3</f>
        <v>0</v>
      </c>
      <c r="B50" s="256" t="str">
        <f t="shared" ref="B50" si="109">IF(C50="","",MID($B$40,2,7))</f>
        <v/>
      </c>
      <c r="C50" s="256" t="str">
        <f>IF(D50="","",VLOOKUP(D50,구분표!$A$3:$C$223,3,))</f>
        <v/>
      </c>
      <c r="D50" s="256"/>
      <c r="E50" s="301"/>
      <c r="F50" s="301"/>
      <c r="G50" s="301"/>
      <c r="H50" s="304"/>
      <c r="I50" s="292"/>
      <c r="J50" s="292"/>
      <c r="K50" s="348">
        <f t="shared" ref="K50" si="110">I50-J50</f>
        <v>0</v>
      </c>
      <c r="L50" s="292"/>
      <c r="M50" s="292"/>
      <c r="N50" s="464">
        <f t="shared" ref="N50" si="111">I50+L50+M50</f>
        <v>0</v>
      </c>
      <c r="O50" s="382">
        <f t="shared" ref="O50" si="112">R50-N50</f>
        <v>0</v>
      </c>
      <c r="P50" s="383"/>
      <c r="Q50" s="334"/>
      <c r="R50" s="465">
        <f t="shared" ref="R50" si="113">I50+P50+Q50</f>
        <v>0</v>
      </c>
      <c r="S50" s="384" t="str">
        <f t="shared" ref="S50" si="114">IF(AND((N50=0),(R50&gt;0)),"O",IF(AND((L50&lt;0),(N50-R50&lt;0)),"O","X"))</f>
        <v>X</v>
      </c>
      <c r="T50" s="354"/>
      <c r="U50" s="353"/>
      <c r="V50" s="257"/>
      <c r="W50" s="188"/>
      <c r="Y50" s="196"/>
      <c r="Z50" s="297">
        <f t="shared" si="2"/>
        <v>0</v>
      </c>
      <c r="AA50" s="297">
        <f t="shared" si="3"/>
        <v>0</v>
      </c>
      <c r="AB50" s="303" t="str">
        <f t="shared" si="4"/>
        <v>OK</v>
      </c>
      <c r="AC50" s="341"/>
      <c r="AD50" s="303"/>
      <c r="AE50" s="297">
        <f t="shared" si="5"/>
        <v>0</v>
      </c>
      <c r="AF50" s="297">
        <f t="shared" si="95"/>
        <v>0</v>
      </c>
      <c r="AG50" s="303" t="str">
        <f t="shared" si="96"/>
        <v>OK</v>
      </c>
      <c r="AI50" s="197" t="str">
        <f t="shared" si="90"/>
        <v/>
      </c>
      <c r="AK50" s="231" t="str">
        <f t="shared" si="91"/>
        <v/>
      </c>
      <c r="AL50" s="187" t="str">
        <f t="shared" ref="AL50" si="115">IF(Y50="","",IF(AND(Y50="도비",AI50="세입없음"),"OK",IF(AND(Y50&lt;&gt;"도비",AI50&lt;&gt;""),"OK","@@")))</f>
        <v/>
      </c>
      <c r="AN50" s="188" t="str">
        <f t="array" ref="AN50">IF(D50="","",INDEX(구분표!$I$2:$I$319, MATCH(1,(구분표!$E$2:$E$319='1추일출'!C50)*(구분표!$F$2:$F$319='1추일출'!D50)*(구분표!$G$2:$G$319='1추일출'!B50),0)))</f>
        <v/>
      </c>
      <c r="AP50" s="188"/>
      <c r="AR50" s="173">
        <f t="shared" si="92"/>
        <v>0</v>
      </c>
      <c r="AS50" s="173">
        <f t="shared" si="93"/>
        <v>0</v>
      </c>
    </row>
    <row r="51" spans="1:45" ht="60" customHeight="1">
      <c r="A51" s="372"/>
      <c r="B51" s="255" t="s">
        <v>436</v>
      </c>
      <c r="C51" s="255"/>
      <c r="D51" s="255"/>
      <c r="E51" s="255"/>
      <c r="F51" s="255"/>
      <c r="G51" s="255"/>
      <c r="H51" s="385"/>
      <c r="I51" s="374">
        <f t="shared" ref="I51:R51" si="116">SUBTOTAL(9,I52:I57)</f>
        <v>39727000</v>
      </c>
      <c r="J51" s="374">
        <f t="shared" si="116"/>
        <v>39077000</v>
      </c>
      <c r="K51" s="374">
        <f t="shared" si="116"/>
        <v>650000</v>
      </c>
      <c r="L51" s="374">
        <f t="shared" si="116"/>
        <v>-100000</v>
      </c>
      <c r="M51" s="374">
        <f t="shared" si="116"/>
        <v>296783</v>
      </c>
      <c r="N51" s="375">
        <f t="shared" si="116"/>
        <v>39923783</v>
      </c>
      <c r="O51" s="376">
        <f t="shared" si="116"/>
        <v>-196783</v>
      </c>
      <c r="P51" s="377">
        <f t="shared" si="116"/>
        <v>0</v>
      </c>
      <c r="Q51" s="333">
        <f t="shared" si="116"/>
        <v>0</v>
      </c>
      <c r="R51" s="376">
        <f t="shared" si="116"/>
        <v>39727000</v>
      </c>
      <c r="S51" s="378"/>
      <c r="T51" s="379"/>
      <c r="U51" s="380"/>
      <c r="V51" s="381"/>
      <c r="W51" s="188"/>
      <c r="Y51" s="196"/>
      <c r="Z51" s="297"/>
      <c r="AA51" s="297"/>
      <c r="AB51" s="303"/>
      <c r="AC51" s="341"/>
      <c r="AD51" s="302"/>
      <c r="AE51" s="297"/>
      <c r="AF51" s="297"/>
      <c r="AG51" s="188"/>
      <c r="AI51" s="197"/>
      <c r="AK51" s="194"/>
      <c r="AL51" s="187"/>
      <c r="AN51" s="188"/>
      <c r="AP51" s="188"/>
      <c r="AR51" s="252">
        <f>SUBTOTAL(9,AR52:AR57)</f>
        <v>-270000</v>
      </c>
      <c r="AS51" s="253">
        <f>SUBTOTAL(9,AS52:AS57)</f>
        <v>100000</v>
      </c>
    </row>
    <row r="52" spans="1:45" ht="60" customHeight="1">
      <c r="A52" s="301">
        <f>COUNTA($C$8:C52)-COUNTBLANK($C$8:C52)+4</f>
        <v>1</v>
      </c>
      <c r="B52" s="256" t="s">
        <v>880</v>
      </c>
      <c r="C52" s="256" t="s">
        <v>881</v>
      </c>
      <c r="D52" s="256" t="s">
        <v>882</v>
      </c>
      <c r="E52" s="301" t="s">
        <v>884</v>
      </c>
      <c r="F52" s="301">
        <v>487</v>
      </c>
      <c r="G52" s="301">
        <v>109</v>
      </c>
      <c r="H52" s="304" t="s">
        <v>885</v>
      </c>
      <c r="I52" s="292">
        <v>39377000</v>
      </c>
      <c r="J52" s="292">
        <v>39077000</v>
      </c>
      <c r="K52" s="348">
        <f t="shared" si="14"/>
        <v>300000</v>
      </c>
      <c r="L52" s="292"/>
      <c r="M52" s="292">
        <v>200000</v>
      </c>
      <c r="N52" s="464">
        <f>I52+L52+M52</f>
        <v>39577000</v>
      </c>
      <c r="O52" s="382">
        <f t="shared" ref="O52" si="117">R52-N52</f>
        <v>-200000</v>
      </c>
      <c r="P52" s="383"/>
      <c r="Q52" s="334"/>
      <c r="R52" s="465">
        <f>I52+P52+Q52</f>
        <v>39377000</v>
      </c>
      <c r="S52" s="384" t="str">
        <f t="shared" ref="S52:S53" si="118">IF(AND((N52=0),(R52&gt;0)),"O",IF(AND((L52&lt;0),(N52-R52&lt;0)),"O","X"))</f>
        <v>X</v>
      </c>
      <c r="T52" s="354"/>
      <c r="U52" s="354"/>
      <c r="V52" s="257"/>
      <c r="W52" s="188" t="s">
        <v>996</v>
      </c>
      <c r="Y52" s="196" t="s">
        <v>997</v>
      </c>
      <c r="Z52" s="297">
        <f t="shared" si="2"/>
        <v>0</v>
      </c>
      <c r="AA52" s="297">
        <f t="shared" si="3"/>
        <v>200000</v>
      </c>
      <c r="AB52" s="303" t="str">
        <f t="shared" si="4"/>
        <v>OK</v>
      </c>
      <c r="AC52" s="341"/>
      <c r="AD52" s="303" t="s">
        <v>997</v>
      </c>
      <c r="AE52" s="297">
        <f t="shared" si="5"/>
        <v>0</v>
      </c>
      <c r="AF52" s="297">
        <f t="shared" ref="AF52" si="119">IF($Y52="도비",SUM(P52:Q52),IF($W52="국도비","직접입력",SUM(P52:Q52)-AE52))</f>
        <v>0</v>
      </c>
      <c r="AG52" s="303" t="str">
        <f t="shared" ref="AG52" si="120">IF(SUM(P52:Q52)=SUM(AE52:AF52),"OK","검토")</f>
        <v>OK</v>
      </c>
      <c r="AI52" s="197" t="str">
        <f t="shared" ref="AI52:AI57" si="121">IF(W52="","",IF(W52="도비","세입없음","직접입력"))</f>
        <v>세입없음</v>
      </c>
      <c r="AK52" s="194">
        <f>IF(AI52="","",COUNTIF($AI$7:$AI$112,AI52))</f>
        <v>4</v>
      </c>
      <c r="AL52" s="187" t="str">
        <f t="shared" si="10"/>
        <v>OK</v>
      </c>
      <c r="AN52" s="188" t="str">
        <f t="array" ref="AN52">IF(D52="","",INDEX(구분표!$I$2:$I$319, MATCH(1,(구분표!$E$2:$E$319='1추일출'!C52)*(구분표!$F$2:$F$319='1추일출'!D52)*(구분표!$G$2:$G$319='1추일출'!B52),0)))</f>
        <v>10801</v>
      </c>
      <c r="AP52" s="188"/>
      <c r="AR52" s="173">
        <f t="shared" ref="AR52:AR57" si="122">IF(O52&lt;0,O52,0)</f>
        <v>-200000</v>
      </c>
      <c r="AS52" s="173">
        <f t="shared" ref="AS52:AS57" si="123">IF(O52&gt;0,O52,0)</f>
        <v>0</v>
      </c>
    </row>
    <row r="53" spans="1:45" ht="60" customHeight="1">
      <c r="A53" s="301">
        <v>2</v>
      </c>
      <c r="B53" s="256" t="s">
        <v>880</v>
      </c>
      <c r="C53" s="256" t="s">
        <v>881</v>
      </c>
      <c r="D53" s="256" t="s">
        <v>975</v>
      </c>
      <c r="E53" s="301" t="s">
        <v>1003</v>
      </c>
      <c r="F53" s="301"/>
      <c r="G53" s="301"/>
      <c r="H53" s="304" t="s">
        <v>1004</v>
      </c>
      <c r="I53" s="292"/>
      <c r="J53" s="292"/>
      <c r="K53" s="348">
        <f t="shared" si="14"/>
        <v>0</v>
      </c>
      <c r="L53" s="292"/>
      <c r="M53" s="292">
        <v>20000</v>
      </c>
      <c r="N53" s="464">
        <f t="shared" si="15"/>
        <v>20000</v>
      </c>
      <c r="O53" s="382">
        <f t="shared" ref="O53:O54" si="124">R53-N53</f>
        <v>-20000</v>
      </c>
      <c r="P53" s="383"/>
      <c r="Q53" s="334"/>
      <c r="R53" s="465">
        <f t="shared" si="17"/>
        <v>0</v>
      </c>
      <c r="S53" s="384" t="str">
        <f t="shared" si="118"/>
        <v>X</v>
      </c>
      <c r="T53" s="354"/>
      <c r="U53" s="353"/>
      <c r="V53" s="257"/>
      <c r="W53" s="303" t="s">
        <v>996</v>
      </c>
      <c r="Y53" s="196" t="s">
        <v>1008</v>
      </c>
      <c r="Z53" s="297">
        <f t="shared" si="2"/>
        <v>0</v>
      </c>
      <c r="AA53" s="297">
        <f t="shared" si="3"/>
        <v>20000</v>
      </c>
      <c r="AB53" s="303" t="str">
        <f t="shared" si="4"/>
        <v>OK</v>
      </c>
      <c r="AC53" s="341"/>
      <c r="AD53" s="303" t="s">
        <v>997</v>
      </c>
      <c r="AE53" s="297">
        <f t="shared" si="5"/>
        <v>0</v>
      </c>
      <c r="AF53" s="297">
        <f t="shared" ref="AF53" si="125">IF($Y53="도비",SUM(P53:Q53),IF($W53="국도비","직접입력",SUM(P53:Q53)-AE53))</f>
        <v>0</v>
      </c>
      <c r="AG53" s="303" t="str">
        <f t="shared" ref="AG53" si="126">IF(SUM(P53:Q53)=SUM(AE53:AF53),"OK","검토")</f>
        <v>OK</v>
      </c>
      <c r="AI53" s="197" t="str">
        <f t="shared" ref="AI53" si="127">IF(W53="","",IF(W53="도비","세입없음","직접입력"))</f>
        <v>세입없음</v>
      </c>
      <c r="AK53" s="231">
        <f>IF(AI53="","",COUNTIF($AI$7:$AI$112,AI53))</f>
        <v>4</v>
      </c>
      <c r="AL53" s="187" t="str">
        <f t="shared" ref="AL53" si="128">IF(Y53="","",IF(AND(Y53="도비",AI53="세입없음"),"OK",IF(AND(Y53&lt;&gt;"도비",AI53&lt;&gt;""),"OK","@@")))</f>
        <v>OK</v>
      </c>
      <c r="AN53" s="188" t="str">
        <f t="array" ref="AN53">IF(D53="","",INDEX(구분표!$I$2:$I$319, MATCH(1,(구분표!$E$2:$E$319='1추일출'!C53)*(구분표!$F$2:$F$319='1추일출'!D53)*(구분표!$G$2:$G$319='1추일출'!B53),0)))</f>
        <v>10803</v>
      </c>
      <c r="AP53" s="188"/>
      <c r="AR53" s="173">
        <f t="shared" si="122"/>
        <v>-20000</v>
      </c>
      <c r="AS53" s="173">
        <f t="shared" si="123"/>
        <v>0</v>
      </c>
    </row>
    <row r="54" spans="1:45" ht="60" customHeight="1">
      <c r="A54" s="301">
        <f>COUNTA($C$8:C54)-COUNTBLANK($C$8:C54)+4</f>
        <v>3</v>
      </c>
      <c r="B54" s="256" t="s">
        <v>880</v>
      </c>
      <c r="C54" s="256" t="s">
        <v>881</v>
      </c>
      <c r="D54" s="256" t="s">
        <v>993</v>
      </c>
      <c r="E54" s="301" t="s">
        <v>884</v>
      </c>
      <c r="F54" s="301">
        <v>495</v>
      </c>
      <c r="G54" s="301">
        <v>197</v>
      </c>
      <c r="H54" s="304" t="s">
        <v>994</v>
      </c>
      <c r="I54" s="292">
        <v>250000</v>
      </c>
      <c r="J54" s="292">
        <v>0</v>
      </c>
      <c r="K54" s="348">
        <f t="shared" ref="K54:K55" si="129">I54-J54</f>
        <v>250000</v>
      </c>
      <c r="L54" s="292">
        <v>-100000</v>
      </c>
      <c r="M54" s="292"/>
      <c r="N54" s="464">
        <f t="shared" ref="N54:N55" si="130">I54+L54+M54</f>
        <v>150000</v>
      </c>
      <c r="O54" s="382">
        <f t="shared" si="124"/>
        <v>100000</v>
      </c>
      <c r="P54" s="383"/>
      <c r="Q54" s="334"/>
      <c r="R54" s="465">
        <f t="shared" ref="R54:R55" si="131">I54+P54+Q54</f>
        <v>250000</v>
      </c>
      <c r="S54" s="384" t="str">
        <f t="shared" ref="S54:S56" si="132">IF(AND((N54=0),(R54&gt;0)),"O",IF(AND((L54&lt;0),(N54-R54&lt;0)),"O","X"))</f>
        <v>O</v>
      </c>
      <c r="T54" s="354"/>
      <c r="U54" s="354"/>
      <c r="V54" s="257"/>
      <c r="W54" s="188" t="s">
        <v>997</v>
      </c>
      <c r="Y54" s="196" t="s">
        <v>997</v>
      </c>
      <c r="Z54" s="297">
        <f t="shared" si="2"/>
        <v>0</v>
      </c>
      <c r="AA54" s="297">
        <f t="shared" si="3"/>
        <v>-100000</v>
      </c>
      <c r="AB54" s="303" t="str">
        <f t="shared" si="4"/>
        <v>OK</v>
      </c>
      <c r="AC54" s="341"/>
      <c r="AD54" s="303" t="s">
        <v>997</v>
      </c>
      <c r="AE54" s="297">
        <f t="shared" si="5"/>
        <v>0</v>
      </c>
      <c r="AF54" s="297">
        <f t="shared" ref="AF54:AF57" si="133">IF($Y54="도비",SUM(P54:Q54),IF($W54="국도비","직접입력",SUM(P54:Q54)-AE54))</f>
        <v>0</v>
      </c>
      <c r="AG54" s="303" t="str">
        <f t="shared" ref="AG54:AG57" si="134">IF(SUM(P54:Q54)=SUM(AE54:AF54),"OK","검토")</f>
        <v>OK</v>
      </c>
      <c r="AI54" s="197" t="str">
        <f t="shared" si="121"/>
        <v>세입없음</v>
      </c>
      <c r="AK54" s="231">
        <f>IF(AI54="","",COUNTIF($AI$7:$AI$112,AI54))</f>
        <v>4</v>
      </c>
      <c r="AL54" s="187" t="str">
        <f t="shared" ref="AL54:AL56" si="135">IF(Y54="","",IF(AND(Y54="도비",AI54="세입없음"),"OK",IF(AND(Y54&lt;&gt;"도비",AI54&lt;&gt;""),"OK","@@")))</f>
        <v>OK</v>
      </c>
      <c r="AN54" s="188" t="str">
        <f t="array" ref="AN54">IF(D54="","",INDEX(구분표!$I$2:$I$319, MATCH(1,(구분표!$E$2:$E$319='1추일출'!C54)*(구분표!$F$2:$F$319='1추일출'!D54)*(구분표!$G$2:$G$319='1추일출'!B54),0)))</f>
        <v>10804</v>
      </c>
      <c r="AP54" s="188"/>
      <c r="AR54" s="173">
        <f t="shared" si="122"/>
        <v>0</v>
      </c>
      <c r="AS54" s="173">
        <f t="shared" si="123"/>
        <v>100000</v>
      </c>
    </row>
    <row r="55" spans="1:45" ht="60" customHeight="1">
      <c r="A55" s="301">
        <f>COUNTA($C$8:C55)-COUNTBLANK($C$8:C55)+4</f>
        <v>4</v>
      </c>
      <c r="B55" s="256" t="s">
        <v>880</v>
      </c>
      <c r="C55" s="256" t="s">
        <v>881</v>
      </c>
      <c r="D55" s="256" t="s">
        <v>993</v>
      </c>
      <c r="E55" s="301" t="s">
        <v>884</v>
      </c>
      <c r="F55" s="301">
        <v>495</v>
      </c>
      <c r="G55" s="301">
        <v>205</v>
      </c>
      <c r="H55" s="304" t="s">
        <v>995</v>
      </c>
      <c r="I55" s="292">
        <v>100000</v>
      </c>
      <c r="J55" s="292">
        <v>0</v>
      </c>
      <c r="K55" s="348">
        <f t="shared" si="129"/>
        <v>100000</v>
      </c>
      <c r="L55" s="292"/>
      <c r="M55" s="292">
        <v>50000</v>
      </c>
      <c r="N55" s="464">
        <f t="shared" si="130"/>
        <v>150000</v>
      </c>
      <c r="O55" s="382">
        <f t="shared" ref="O55" si="136">R55-N55</f>
        <v>-50000</v>
      </c>
      <c r="P55" s="383"/>
      <c r="Q55" s="334"/>
      <c r="R55" s="465">
        <f t="shared" si="131"/>
        <v>100000</v>
      </c>
      <c r="S55" s="384" t="str">
        <f t="shared" si="132"/>
        <v>X</v>
      </c>
      <c r="T55" s="354"/>
      <c r="U55" s="354"/>
      <c r="V55" s="257"/>
      <c r="W55" s="196" t="s">
        <v>997</v>
      </c>
      <c r="Y55" s="196" t="s">
        <v>997</v>
      </c>
      <c r="Z55" s="297">
        <f t="shared" si="2"/>
        <v>0</v>
      </c>
      <c r="AA55" s="297">
        <f t="shared" si="3"/>
        <v>50000</v>
      </c>
      <c r="AB55" s="303" t="str">
        <f t="shared" si="4"/>
        <v>OK</v>
      </c>
      <c r="AC55" s="341"/>
      <c r="AD55" s="303" t="s">
        <v>997</v>
      </c>
      <c r="AE55" s="297">
        <f t="shared" si="5"/>
        <v>0</v>
      </c>
      <c r="AF55" s="297">
        <f t="shared" ref="AF55:AF56" si="137">IF($Y55="도비",SUM(P55:Q55),IF($W55="국도비","직접입력",SUM(P55:Q55)-AE55))</f>
        <v>0</v>
      </c>
      <c r="AG55" s="303" t="str">
        <f t="shared" ref="AG55:AG56" si="138">IF(SUM(P55:Q55)=SUM(AE55:AF55),"OK","검토")</f>
        <v>OK</v>
      </c>
      <c r="AI55" s="197" t="str">
        <f t="shared" ref="AI55" si="139">IF(W55="","",IF(W55="도비","세입없음","직접입력"))</f>
        <v>세입없음</v>
      </c>
      <c r="AK55" s="231">
        <f>IF(AI55="","",COUNTIF($AI$7:$AI$112,AI55))</f>
        <v>4</v>
      </c>
      <c r="AL55" s="187" t="str">
        <f t="shared" si="135"/>
        <v>OK</v>
      </c>
      <c r="AN55" s="188" t="str">
        <f t="array" ref="AN55">IF(D55="","",INDEX(구분표!$I$2:$I$319, MATCH(1,(구분표!$E$2:$E$319='1추일출'!C55)*(구분표!$F$2:$F$319='1추일출'!D55)*(구분표!$G$2:$G$319='1추일출'!B55),0)))</f>
        <v>10804</v>
      </c>
      <c r="AP55" s="188"/>
      <c r="AR55" s="173">
        <f t="shared" ref="AR55" si="140">IF(O55&lt;0,O55,0)</f>
        <v>-50000</v>
      </c>
      <c r="AS55" s="173">
        <f t="shared" ref="AS55" si="141">IF(O55&gt;0,O55,0)</f>
        <v>0</v>
      </c>
    </row>
    <row r="56" spans="1:45" ht="60" customHeight="1">
      <c r="A56" s="301">
        <v>5</v>
      </c>
      <c r="B56" s="256" t="s">
        <v>880</v>
      </c>
      <c r="C56" s="256" t="s">
        <v>881</v>
      </c>
      <c r="D56" s="256" t="s">
        <v>989</v>
      </c>
      <c r="E56" s="301" t="s">
        <v>1001</v>
      </c>
      <c r="F56" s="301"/>
      <c r="G56" s="301"/>
      <c r="H56" s="304" t="s">
        <v>1002</v>
      </c>
      <c r="I56" s="292"/>
      <c r="J56" s="292"/>
      <c r="K56" s="348">
        <f t="shared" si="14"/>
        <v>0</v>
      </c>
      <c r="L56" s="292"/>
      <c r="M56" s="292">
        <v>26783</v>
      </c>
      <c r="N56" s="464">
        <f t="shared" si="15"/>
        <v>26783</v>
      </c>
      <c r="O56" s="382">
        <f t="shared" ref="O56" si="142">R56-N56</f>
        <v>-26783</v>
      </c>
      <c r="P56" s="383"/>
      <c r="Q56" s="334"/>
      <c r="R56" s="465"/>
      <c r="S56" s="384" t="str">
        <f t="shared" si="132"/>
        <v>X</v>
      </c>
      <c r="T56" s="354"/>
      <c r="U56" s="354"/>
      <c r="V56" s="257"/>
      <c r="W56" s="303" t="s">
        <v>1007</v>
      </c>
      <c r="Y56" s="196" t="s">
        <v>1009</v>
      </c>
      <c r="Z56" s="297" t="str">
        <f t="shared" si="2"/>
        <v>직접입력</v>
      </c>
      <c r="AA56" s="297" t="str">
        <f t="shared" si="3"/>
        <v>직접입력</v>
      </c>
      <c r="AB56" s="303" t="str">
        <f t="shared" si="4"/>
        <v>검토</v>
      </c>
      <c r="AC56" s="341"/>
      <c r="AD56" s="303" t="s">
        <v>1009</v>
      </c>
      <c r="AE56" s="297" t="str">
        <f t="shared" si="5"/>
        <v>직접입력</v>
      </c>
      <c r="AF56" s="297" t="str">
        <f t="shared" si="137"/>
        <v>직접입력</v>
      </c>
      <c r="AG56" s="303" t="str">
        <f t="shared" si="138"/>
        <v>OK</v>
      </c>
      <c r="AI56" s="197" t="str">
        <f t="shared" ref="AI56" si="143">IF(W56="","",IF(W56="도비","세입없음","직접입력"))</f>
        <v>직접입력</v>
      </c>
      <c r="AK56" s="231">
        <f>IF(AI56="","",COUNTIF($AI$7:$AI$112,AI56))</f>
        <v>1</v>
      </c>
      <c r="AL56" s="187" t="str">
        <f t="shared" si="135"/>
        <v>OK</v>
      </c>
      <c r="AN56" s="188" t="str">
        <f t="array" ref="AN56">IF(D56="","",INDEX(구분표!$I$2:$I$319, MATCH(1,(구분표!$E$2:$E$319='1추일출'!C56)*(구분표!$F$2:$F$319='1추일출'!D56)*(구분표!$G$2:$G$319='1추일출'!B56),0)))</f>
        <v>10804</v>
      </c>
      <c r="AP56" s="188"/>
    </row>
    <row r="57" spans="1:45" ht="60" customHeight="1">
      <c r="A57" s="301"/>
      <c r="B57" s="256" t="str">
        <f t="shared" ref="B57" si="144">IF(C57="","",MID($B$51,2,9))</f>
        <v/>
      </c>
      <c r="C57" s="256" t="str">
        <f>IF(D57="","",VLOOKUP(D57,구분표!$A$3:$C$223,3,))</f>
        <v/>
      </c>
      <c r="D57" s="256"/>
      <c r="E57" s="301"/>
      <c r="F57" s="301"/>
      <c r="G57" s="301"/>
      <c r="H57" s="304"/>
      <c r="I57" s="292"/>
      <c r="J57" s="292"/>
      <c r="K57" s="348">
        <f t="shared" ref="K57" si="145">I57-J57</f>
        <v>0</v>
      </c>
      <c r="L57" s="292"/>
      <c r="M57" s="292"/>
      <c r="N57" s="464">
        <f t="shared" ref="N57" si="146">I57+L57+M57</f>
        <v>0</v>
      </c>
      <c r="O57" s="382">
        <f>R57-N57</f>
        <v>0</v>
      </c>
      <c r="P57" s="383"/>
      <c r="Q57" s="334"/>
      <c r="R57" s="465">
        <f t="shared" ref="R57" si="147">I57+P57+Q57</f>
        <v>0</v>
      </c>
      <c r="S57" s="384" t="str">
        <f t="shared" ref="S57" si="148">IF(AND((N57=0),(R57&gt;0)),"O",IF(AND((L57&lt;0),(N57-R57&lt;0)),"O","X"))</f>
        <v>X</v>
      </c>
      <c r="T57" s="354"/>
      <c r="U57" s="354"/>
      <c r="V57" s="257"/>
      <c r="W57" s="188"/>
      <c r="Y57" s="196"/>
      <c r="Z57" s="297">
        <f t="shared" si="2"/>
        <v>0</v>
      </c>
      <c r="AA57" s="297">
        <f t="shared" si="3"/>
        <v>0</v>
      </c>
      <c r="AB57" s="303" t="str">
        <f t="shared" si="4"/>
        <v>OK</v>
      </c>
      <c r="AC57" s="341"/>
      <c r="AD57" s="303"/>
      <c r="AE57" s="297">
        <f t="shared" si="5"/>
        <v>0</v>
      </c>
      <c r="AF57" s="297">
        <f t="shared" si="133"/>
        <v>0</v>
      </c>
      <c r="AG57" s="303" t="str">
        <f t="shared" si="134"/>
        <v>OK</v>
      </c>
      <c r="AI57" s="197" t="str">
        <f t="shared" si="121"/>
        <v/>
      </c>
      <c r="AK57" s="231" t="str">
        <f>IF(AI57="","",COUNTIF($AI$7:$AI$112,AI57))</f>
        <v/>
      </c>
      <c r="AL57" s="187" t="str">
        <f t="shared" ref="AL57" si="149">IF(Y57="","",IF(AND(Y57="도비",AI57="세입없음"),"OK",IF(AND(Y57&lt;&gt;"도비",AI57&lt;&gt;""),"OK","@@")))</f>
        <v/>
      </c>
      <c r="AN57" s="188" t="str">
        <f t="array" ref="AN57">IF(D57="","",INDEX(구분표!$I$2:$I$319, MATCH(1,(구분표!$E$2:$E$319='1추일출'!C57)*(구분표!$F$2:$F$319='1추일출'!D57)*(구분표!$G$2:$G$319='1추일출'!B57),0)))</f>
        <v/>
      </c>
      <c r="AP57" s="188"/>
      <c r="AR57" s="173">
        <f t="shared" si="122"/>
        <v>0</v>
      </c>
      <c r="AS57" s="173">
        <f t="shared" si="123"/>
        <v>0</v>
      </c>
    </row>
    <row r="58" spans="1:45" ht="60" customHeight="1">
      <c r="A58" s="372"/>
      <c r="B58" s="255" t="s">
        <v>437</v>
      </c>
      <c r="C58" s="255"/>
      <c r="D58" s="255"/>
      <c r="E58" s="255"/>
      <c r="F58" s="255"/>
      <c r="G58" s="255"/>
      <c r="H58" s="385"/>
      <c r="I58" s="374">
        <f t="shared" ref="I58:R58" si="150">SUBTOTAL(9,I59:I68)</f>
        <v>0</v>
      </c>
      <c r="J58" s="374">
        <f t="shared" si="150"/>
        <v>0</v>
      </c>
      <c r="K58" s="374">
        <f t="shared" si="150"/>
        <v>0</v>
      </c>
      <c r="L58" s="374">
        <f t="shared" si="150"/>
        <v>0</v>
      </c>
      <c r="M58" s="374">
        <f t="shared" si="150"/>
        <v>0</v>
      </c>
      <c r="N58" s="375">
        <f t="shared" si="150"/>
        <v>0</v>
      </c>
      <c r="O58" s="376">
        <f t="shared" si="150"/>
        <v>0</v>
      </c>
      <c r="P58" s="377">
        <f t="shared" si="150"/>
        <v>0</v>
      </c>
      <c r="Q58" s="333">
        <f t="shared" si="150"/>
        <v>0</v>
      </c>
      <c r="R58" s="376">
        <f t="shared" si="150"/>
        <v>0</v>
      </c>
      <c r="S58" s="389"/>
      <c r="T58" s="390"/>
      <c r="U58" s="391"/>
      <c r="V58" s="381"/>
      <c r="W58" s="188"/>
      <c r="Y58" s="196"/>
      <c r="Z58" s="297"/>
      <c r="AA58" s="297"/>
      <c r="AB58" s="303"/>
      <c r="AC58" s="341"/>
      <c r="AD58" s="302"/>
      <c r="AE58" s="297"/>
      <c r="AF58" s="297"/>
      <c r="AG58" s="188"/>
      <c r="AI58" s="197"/>
      <c r="AK58" s="194"/>
      <c r="AL58" s="187"/>
      <c r="AN58" s="188"/>
      <c r="AP58" s="188"/>
      <c r="AR58" s="252">
        <f>SUBTOTAL(9,AR59:AR68)</f>
        <v>0</v>
      </c>
      <c r="AS58" s="253">
        <f>SUBTOTAL(9,AS59:AS68)</f>
        <v>0</v>
      </c>
    </row>
    <row r="59" spans="1:45" ht="60" customHeight="1">
      <c r="A59" s="301">
        <f>COUNTA($C$8:C59)-COUNTBLANK($C$8:C59)+5</f>
        <v>5</v>
      </c>
      <c r="B59" s="256" t="str">
        <f t="shared" ref="B59:B68" si="151">IF(C59="","",MID($B$58,2,7))</f>
        <v/>
      </c>
      <c r="C59" s="256" t="str">
        <f>IF(D59="","",VLOOKUP(D59,구분표!$A$3:$C$223,3,))</f>
        <v/>
      </c>
      <c r="D59" s="256"/>
      <c r="E59" s="301"/>
      <c r="F59" s="392"/>
      <c r="G59" s="392"/>
      <c r="H59" s="356"/>
      <c r="I59" s="355"/>
      <c r="J59" s="355"/>
      <c r="K59" s="348">
        <f t="shared" si="14"/>
        <v>0</v>
      </c>
      <c r="L59" s="292"/>
      <c r="M59" s="292"/>
      <c r="N59" s="464">
        <f>I59+L59+M59</f>
        <v>0</v>
      </c>
      <c r="O59" s="382">
        <f t="shared" ref="O59:O68" si="152">R59-N59</f>
        <v>0</v>
      </c>
      <c r="P59" s="383"/>
      <c r="Q59" s="334"/>
      <c r="R59" s="465">
        <f>I59+P59+Q59</f>
        <v>0</v>
      </c>
      <c r="S59" s="384" t="str">
        <f t="shared" ref="S59" si="153">IF(AND((N59=0),(R59&gt;0)),"O",IF(AND((L59&lt;0),(N59-R59&lt;0)),"O","X"))</f>
        <v>X</v>
      </c>
      <c r="T59" s="294"/>
      <c r="U59" s="353"/>
      <c r="V59" s="257"/>
      <c r="W59" s="188"/>
      <c r="Y59" s="196"/>
      <c r="Z59" s="297">
        <f t="shared" si="2"/>
        <v>0</v>
      </c>
      <c r="AA59" s="297">
        <f t="shared" si="3"/>
        <v>0</v>
      </c>
      <c r="AB59" s="303" t="str">
        <f t="shared" si="4"/>
        <v>OK</v>
      </c>
      <c r="AC59" s="341"/>
      <c r="AD59" s="303"/>
      <c r="AE59" s="297">
        <f t="shared" si="5"/>
        <v>0</v>
      </c>
      <c r="AF59" s="297">
        <f t="shared" ref="AF59" si="154">IF($Y59="도비",SUM(P59:Q59),IF($W59="국도비","직접입력",SUM(P59:Q59)-AE59))</f>
        <v>0</v>
      </c>
      <c r="AG59" s="303" t="str">
        <f t="shared" ref="AG59" si="155">IF(SUM(P59:Q59)=SUM(AE59:AF59),"OK","검토")</f>
        <v>OK</v>
      </c>
      <c r="AI59" s="197" t="str">
        <f t="shared" ref="AI59:AI68" si="156">IF(W59="","",IF(W59="도비","세입없음","직접입력"))</f>
        <v/>
      </c>
      <c r="AK59" s="194" t="str">
        <f t="shared" ref="AK59:AK68" si="157">IF(AI59="","",COUNTIF($AI$7:$AI$112,AI59))</f>
        <v/>
      </c>
      <c r="AL59" s="187" t="str">
        <f t="shared" si="10"/>
        <v/>
      </c>
      <c r="AN59" s="188" t="str">
        <f t="array" ref="AN59">IF(D59="","",INDEX(구분표!$I$2:$I$319, MATCH(1,(구분표!$E$2:$E$319='1추일출'!C59)*(구분표!$F$2:$F$319='1추일출'!D59)*(구분표!$G$2:$G$319='1추일출'!B59),0)))</f>
        <v/>
      </c>
      <c r="AP59" s="188"/>
      <c r="AR59" s="173">
        <f t="shared" ref="AR59:AR68" si="158">IF(O59&lt;0,O59,0)</f>
        <v>0</v>
      </c>
      <c r="AS59" s="173">
        <f t="shared" ref="AS59:AS68" si="159">IF(O59&gt;0,O59,0)</f>
        <v>0</v>
      </c>
    </row>
    <row r="60" spans="1:45" ht="60" customHeight="1">
      <c r="A60" s="301">
        <f>COUNTA($C$8:C60)-COUNTBLANK($C$8:C60)+5</f>
        <v>5</v>
      </c>
      <c r="B60" s="256" t="str">
        <f t="shared" si="151"/>
        <v/>
      </c>
      <c r="C60" s="256" t="str">
        <f>IF(D60="","",VLOOKUP(D60,구분표!$A$3:$C$223,3,))</f>
        <v/>
      </c>
      <c r="D60" s="256"/>
      <c r="E60" s="301"/>
      <c r="F60" s="392"/>
      <c r="G60" s="392"/>
      <c r="H60" s="356"/>
      <c r="I60" s="355"/>
      <c r="J60" s="355"/>
      <c r="K60" s="348">
        <f t="shared" ref="K60:K68" si="160">I60-J60</f>
        <v>0</v>
      </c>
      <c r="L60" s="292"/>
      <c r="M60" s="355"/>
      <c r="N60" s="464">
        <f t="shared" ref="N60:N68" si="161">I60+L60+M60</f>
        <v>0</v>
      </c>
      <c r="O60" s="382">
        <f t="shared" si="152"/>
        <v>0</v>
      </c>
      <c r="P60" s="383"/>
      <c r="Q60" s="334"/>
      <c r="R60" s="465">
        <f t="shared" ref="R60:R68" si="162">I60+P60+Q60</f>
        <v>0</v>
      </c>
      <c r="S60" s="384" t="str">
        <f t="shared" ref="S60:S68" si="163">IF(AND((N60=0),(R60&gt;0)),"O",IF(AND((L60&lt;0),(N60-R60&lt;0)),"O","X"))</f>
        <v>X</v>
      </c>
      <c r="T60" s="295"/>
      <c r="U60" s="353"/>
      <c r="V60" s="257"/>
      <c r="W60" s="188"/>
      <c r="Y60" s="196"/>
      <c r="Z60" s="297">
        <f t="shared" si="2"/>
        <v>0</v>
      </c>
      <c r="AA60" s="297">
        <f t="shared" si="3"/>
        <v>0</v>
      </c>
      <c r="AB60" s="303" t="str">
        <f t="shared" ref="AB60:AB112" si="164">IF(SUM($L60:$M60)=SUM($Z60:$AA60),"OK","검토")</f>
        <v>OK</v>
      </c>
      <c r="AC60" s="341"/>
      <c r="AD60" s="302"/>
      <c r="AE60" s="297">
        <f t="shared" si="5"/>
        <v>0</v>
      </c>
      <c r="AF60" s="297">
        <f t="shared" ref="AF60:AF68" si="165">IF($Y60="도비",SUM(P60:Q60),IF($W60="국도비","직접입력",SUM(P60:Q60)-AE60))</f>
        <v>0</v>
      </c>
      <c r="AG60" s="188" t="str">
        <f t="shared" ref="AG60:AG68" si="166">IF(SUM(P60:Q60)=SUM(AE60:AF60),"OK","검토")</f>
        <v>OK</v>
      </c>
      <c r="AI60" s="197" t="str">
        <f t="shared" si="156"/>
        <v/>
      </c>
      <c r="AK60" s="231" t="str">
        <f t="shared" si="157"/>
        <v/>
      </c>
      <c r="AL60" s="187" t="str">
        <f t="shared" ref="AL60:AL68" si="167">IF(Y60="","",IF(AND(Y60="도비",AI60="세입없음"),"OK",IF(AND(Y60&lt;&gt;"도비",AI60&lt;&gt;""),"OK","@@")))</f>
        <v/>
      </c>
      <c r="AN60" s="188" t="str">
        <f t="array" ref="AN60">IF(D60="","",INDEX(구분표!$I$2:$I$319, MATCH(1,(구분표!$E$2:$E$319='1추일출'!C60)*(구분표!$F$2:$F$319='1추일출'!D60)*(구분표!$G$2:$G$319='1추일출'!B60),0)))</f>
        <v/>
      </c>
      <c r="AP60" s="188"/>
      <c r="AR60" s="173">
        <f t="shared" si="158"/>
        <v>0</v>
      </c>
      <c r="AS60" s="173">
        <f t="shared" si="159"/>
        <v>0</v>
      </c>
    </row>
    <row r="61" spans="1:45" ht="60" customHeight="1">
      <c r="A61" s="301">
        <f>COUNTA($C$8:C61)-COUNTBLANK($C$8:C61)+5</f>
        <v>5</v>
      </c>
      <c r="B61" s="256" t="str">
        <f t="shared" si="151"/>
        <v/>
      </c>
      <c r="C61" s="256" t="str">
        <f>IF(D61="","",VLOOKUP(D61,구분표!$A$3:$C$223,3,))</f>
        <v/>
      </c>
      <c r="D61" s="256"/>
      <c r="E61" s="301"/>
      <c r="F61" s="392"/>
      <c r="G61" s="392"/>
      <c r="H61" s="356"/>
      <c r="I61" s="355"/>
      <c r="J61" s="355"/>
      <c r="K61" s="348">
        <f t="shared" si="160"/>
        <v>0</v>
      </c>
      <c r="L61" s="292"/>
      <c r="M61" s="355"/>
      <c r="N61" s="464">
        <f t="shared" si="161"/>
        <v>0</v>
      </c>
      <c r="O61" s="382">
        <f t="shared" si="152"/>
        <v>0</v>
      </c>
      <c r="P61" s="383"/>
      <c r="Q61" s="355"/>
      <c r="R61" s="465">
        <f t="shared" si="162"/>
        <v>0</v>
      </c>
      <c r="S61" s="384" t="str">
        <f t="shared" si="163"/>
        <v>X</v>
      </c>
      <c r="T61" s="295"/>
      <c r="U61" s="353"/>
      <c r="V61" s="257"/>
      <c r="W61" s="188"/>
      <c r="Y61" s="196"/>
      <c r="Z61" s="297">
        <f t="shared" si="2"/>
        <v>0</v>
      </c>
      <c r="AA61" s="297">
        <f t="shared" si="3"/>
        <v>0</v>
      </c>
      <c r="AB61" s="303" t="str">
        <f t="shared" si="164"/>
        <v>OK</v>
      </c>
      <c r="AC61" s="341"/>
      <c r="AD61" s="302"/>
      <c r="AE61" s="297">
        <f t="shared" si="5"/>
        <v>0</v>
      </c>
      <c r="AF61" s="297">
        <f t="shared" si="165"/>
        <v>0</v>
      </c>
      <c r="AG61" s="188" t="str">
        <f t="shared" si="166"/>
        <v>OK</v>
      </c>
      <c r="AI61" s="197" t="str">
        <f t="shared" si="156"/>
        <v/>
      </c>
      <c r="AK61" s="231" t="str">
        <f t="shared" si="157"/>
        <v/>
      </c>
      <c r="AL61" s="187" t="str">
        <f t="shared" si="167"/>
        <v/>
      </c>
      <c r="AN61" s="188" t="str">
        <f t="array" ref="AN61">IF(D61="","",INDEX(구분표!$I$2:$I$319, MATCH(1,(구분표!$E$2:$E$319='1추일출'!C61)*(구분표!$F$2:$F$319='1추일출'!D61)*(구분표!$G$2:$G$319='1추일출'!B61),0)))</f>
        <v/>
      </c>
      <c r="AP61" s="188"/>
      <c r="AR61" s="173">
        <f t="shared" si="158"/>
        <v>0</v>
      </c>
      <c r="AS61" s="173">
        <f t="shared" si="159"/>
        <v>0</v>
      </c>
    </row>
    <row r="62" spans="1:45" ht="60" customHeight="1">
      <c r="A62" s="301">
        <f>COUNTA($C$8:C62)-COUNTBLANK($C$8:C62)+5</f>
        <v>5</v>
      </c>
      <c r="B62" s="256" t="str">
        <f t="shared" si="151"/>
        <v/>
      </c>
      <c r="C62" s="256" t="str">
        <f>IF(D62="","",VLOOKUP(D62,구분표!$A$3:$C$223,3,))</f>
        <v/>
      </c>
      <c r="D62" s="256"/>
      <c r="E62" s="301"/>
      <c r="F62" s="392"/>
      <c r="G62" s="392"/>
      <c r="H62" s="356"/>
      <c r="I62" s="355"/>
      <c r="J62" s="355"/>
      <c r="K62" s="348">
        <f t="shared" si="160"/>
        <v>0</v>
      </c>
      <c r="L62" s="292"/>
      <c r="M62" s="355"/>
      <c r="N62" s="464">
        <f t="shared" si="161"/>
        <v>0</v>
      </c>
      <c r="O62" s="382">
        <f t="shared" si="152"/>
        <v>0</v>
      </c>
      <c r="P62" s="383"/>
      <c r="Q62" s="355"/>
      <c r="R62" s="465">
        <f t="shared" si="162"/>
        <v>0</v>
      </c>
      <c r="S62" s="384" t="str">
        <f t="shared" si="163"/>
        <v>X</v>
      </c>
      <c r="T62" s="295"/>
      <c r="U62" s="353"/>
      <c r="V62" s="257"/>
      <c r="W62" s="188"/>
      <c r="Y62" s="196"/>
      <c r="Z62" s="297">
        <f t="shared" si="2"/>
        <v>0</v>
      </c>
      <c r="AA62" s="297">
        <f t="shared" si="3"/>
        <v>0</v>
      </c>
      <c r="AB62" s="303" t="str">
        <f t="shared" si="164"/>
        <v>OK</v>
      </c>
      <c r="AC62" s="341"/>
      <c r="AD62" s="302"/>
      <c r="AE62" s="297">
        <f t="shared" si="5"/>
        <v>0</v>
      </c>
      <c r="AF62" s="297">
        <f t="shared" si="165"/>
        <v>0</v>
      </c>
      <c r="AG62" s="188" t="str">
        <f t="shared" si="166"/>
        <v>OK</v>
      </c>
      <c r="AI62" s="197" t="str">
        <f t="shared" si="156"/>
        <v/>
      </c>
      <c r="AK62" s="231" t="str">
        <f t="shared" si="157"/>
        <v/>
      </c>
      <c r="AL62" s="187" t="str">
        <f t="shared" si="167"/>
        <v/>
      </c>
      <c r="AN62" s="188" t="str">
        <f t="array" ref="AN62">IF(D62="","",INDEX(구분표!$I$2:$I$319, MATCH(1,(구분표!$E$2:$E$319='1추일출'!C62)*(구분표!$F$2:$F$319='1추일출'!D62)*(구분표!$G$2:$G$319='1추일출'!B62),0)))</f>
        <v/>
      </c>
      <c r="AP62" s="188"/>
      <c r="AR62" s="173">
        <f t="shared" si="158"/>
        <v>0</v>
      </c>
      <c r="AS62" s="173">
        <f t="shared" si="159"/>
        <v>0</v>
      </c>
    </row>
    <row r="63" spans="1:45" ht="60" customHeight="1">
      <c r="A63" s="301">
        <f>COUNTA($C$8:C63)-COUNTBLANK($C$8:C63)+5</f>
        <v>5</v>
      </c>
      <c r="B63" s="256" t="str">
        <f t="shared" si="151"/>
        <v/>
      </c>
      <c r="C63" s="256" t="str">
        <f>IF(D63="","",VLOOKUP(D63,구분표!$A$3:$C$223,3,))</f>
        <v/>
      </c>
      <c r="D63" s="256"/>
      <c r="E63" s="301"/>
      <c r="F63" s="392"/>
      <c r="G63" s="392"/>
      <c r="H63" s="356"/>
      <c r="I63" s="355"/>
      <c r="J63" s="355"/>
      <c r="K63" s="348">
        <f t="shared" si="160"/>
        <v>0</v>
      </c>
      <c r="L63" s="292"/>
      <c r="M63" s="355"/>
      <c r="N63" s="464">
        <f t="shared" si="161"/>
        <v>0</v>
      </c>
      <c r="O63" s="382">
        <f t="shared" si="152"/>
        <v>0</v>
      </c>
      <c r="P63" s="383"/>
      <c r="Q63" s="355"/>
      <c r="R63" s="465">
        <f t="shared" si="162"/>
        <v>0</v>
      </c>
      <c r="S63" s="384" t="str">
        <f t="shared" si="163"/>
        <v>X</v>
      </c>
      <c r="T63" s="295"/>
      <c r="U63" s="353"/>
      <c r="V63" s="257"/>
      <c r="W63" s="188"/>
      <c r="Y63" s="196"/>
      <c r="Z63" s="297">
        <f t="shared" si="2"/>
        <v>0</v>
      </c>
      <c r="AA63" s="297">
        <f t="shared" si="3"/>
        <v>0</v>
      </c>
      <c r="AB63" s="303" t="str">
        <f t="shared" si="164"/>
        <v>OK</v>
      </c>
      <c r="AC63" s="341"/>
      <c r="AD63" s="302"/>
      <c r="AE63" s="297">
        <f t="shared" si="5"/>
        <v>0</v>
      </c>
      <c r="AF63" s="297">
        <f t="shared" si="165"/>
        <v>0</v>
      </c>
      <c r="AG63" s="188" t="str">
        <f t="shared" si="166"/>
        <v>OK</v>
      </c>
      <c r="AI63" s="197" t="str">
        <f t="shared" si="156"/>
        <v/>
      </c>
      <c r="AK63" s="231" t="str">
        <f t="shared" si="157"/>
        <v/>
      </c>
      <c r="AL63" s="187" t="str">
        <f t="shared" si="167"/>
        <v/>
      </c>
      <c r="AN63" s="188" t="str">
        <f t="array" ref="AN63">IF(D63="","",INDEX(구분표!$I$2:$I$319, MATCH(1,(구분표!$E$2:$E$319='1추일출'!C63)*(구분표!$F$2:$F$319='1추일출'!D63)*(구분표!$G$2:$G$319='1추일출'!B63),0)))</f>
        <v/>
      </c>
      <c r="AP63" s="188"/>
      <c r="AR63" s="173">
        <f t="shared" si="158"/>
        <v>0</v>
      </c>
      <c r="AS63" s="173">
        <f t="shared" si="159"/>
        <v>0</v>
      </c>
    </row>
    <row r="64" spans="1:45" ht="60" customHeight="1">
      <c r="A64" s="301">
        <f>COUNTA($C$8:C64)-COUNTBLANK($C$8:C64)+5</f>
        <v>5</v>
      </c>
      <c r="B64" s="256" t="str">
        <f t="shared" si="151"/>
        <v/>
      </c>
      <c r="C64" s="256" t="str">
        <f>IF(D64="","",VLOOKUP(D64,구분표!$A$3:$C$223,3,))</f>
        <v/>
      </c>
      <c r="D64" s="256"/>
      <c r="E64" s="301"/>
      <c r="F64" s="392"/>
      <c r="G64" s="392"/>
      <c r="H64" s="356"/>
      <c r="I64" s="355"/>
      <c r="J64" s="355"/>
      <c r="K64" s="348">
        <f t="shared" si="160"/>
        <v>0</v>
      </c>
      <c r="L64" s="292"/>
      <c r="M64" s="355"/>
      <c r="N64" s="464">
        <f t="shared" si="161"/>
        <v>0</v>
      </c>
      <c r="O64" s="382">
        <f t="shared" si="152"/>
        <v>0</v>
      </c>
      <c r="P64" s="383"/>
      <c r="Q64" s="355"/>
      <c r="R64" s="465">
        <f t="shared" si="162"/>
        <v>0</v>
      </c>
      <c r="S64" s="384" t="str">
        <f t="shared" si="163"/>
        <v>X</v>
      </c>
      <c r="T64" s="295"/>
      <c r="U64" s="353"/>
      <c r="V64" s="257"/>
      <c r="W64" s="188"/>
      <c r="Y64" s="196"/>
      <c r="Z64" s="297">
        <f t="shared" si="2"/>
        <v>0</v>
      </c>
      <c r="AA64" s="297">
        <f t="shared" si="3"/>
        <v>0</v>
      </c>
      <c r="AB64" s="303" t="str">
        <f t="shared" si="164"/>
        <v>OK</v>
      </c>
      <c r="AC64" s="341"/>
      <c r="AD64" s="302"/>
      <c r="AE64" s="297">
        <f t="shared" si="5"/>
        <v>0</v>
      </c>
      <c r="AF64" s="297">
        <f t="shared" si="165"/>
        <v>0</v>
      </c>
      <c r="AG64" s="188" t="str">
        <f t="shared" si="166"/>
        <v>OK</v>
      </c>
      <c r="AI64" s="197" t="str">
        <f t="shared" si="156"/>
        <v/>
      </c>
      <c r="AK64" s="231" t="str">
        <f t="shared" si="157"/>
        <v/>
      </c>
      <c r="AL64" s="187" t="str">
        <f t="shared" si="167"/>
        <v/>
      </c>
      <c r="AN64" s="188" t="str">
        <f t="array" ref="AN64">IF(D64="","",INDEX(구분표!$I$2:$I$319, MATCH(1,(구분표!$E$2:$E$319='1추일출'!C64)*(구분표!$F$2:$F$319='1추일출'!D64)*(구분표!$G$2:$G$319='1추일출'!B64),0)))</f>
        <v/>
      </c>
      <c r="AP64" s="188"/>
      <c r="AR64" s="173">
        <f t="shared" si="158"/>
        <v>0</v>
      </c>
      <c r="AS64" s="173">
        <f t="shared" si="159"/>
        <v>0</v>
      </c>
    </row>
    <row r="65" spans="1:45" ht="60" customHeight="1">
      <c r="A65" s="301">
        <f>COUNTA($C$8:C65)-COUNTBLANK($C$8:C65)+5</f>
        <v>5</v>
      </c>
      <c r="B65" s="256" t="str">
        <f t="shared" si="151"/>
        <v/>
      </c>
      <c r="C65" s="256" t="str">
        <f>IF(D65="","",VLOOKUP(D65,구분표!$A$3:$C$223,3,))</f>
        <v/>
      </c>
      <c r="D65" s="256"/>
      <c r="E65" s="301"/>
      <c r="F65" s="301"/>
      <c r="G65" s="301"/>
      <c r="H65" s="356"/>
      <c r="I65" s="292"/>
      <c r="J65" s="292"/>
      <c r="K65" s="348">
        <f t="shared" si="160"/>
        <v>0</v>
      </c>
      <c r="L65" s="292"/>
      <c r="M65" s="292"/>
      <c r="N65" s="464">
        <f t="shared" si="161"/>
        <v>0</v>
      </c>
      <c r="O65" s="382">
        <f t="shared" si="152"/>
        <v>0</v>
      </c>
      <c r="P65" s="383"/>
      <c r="Q65" s="334"/>
      <c r="R65" s="465">
        <f t="shared" si="162"/>
        <v>0</v>
      </c>
      <c r="S65" s="384" t="str">
        <f t="shared" si="163"/>
        <v>X</v>
      </c>
      <c r="T65" s="354"/>
      <c r="U65" s="353"/>
      <c r="V65" s="257"/>
      <c r="W65" s="303"/>
      <c r="X65" s="341"/>
      <c r="Y65" s="302"/>
      <c r="Z65" s="297">
        <f t="shared" si="2"/>
        <v>0</v>
      </c>
      <c r="AA65" s="297">
        <f t="shared" si="3"/>
        <v>0</v>
      </c>
      <c r="AB65" s="303" t="str">
        <f t="shared" si="164"/>
        <v>OK</v>
      </c>
      <c r="AC65" s="341"/>
      <c r="AD65" s="302"/>
      <c r="AE65" s="297">
        <f t="shared" si="5"/>
        <v>0</v>
      </c>
      <c r="AF65" s="297">
        <f t="shared" si="165"/>
        <v>0</v>
      </c>
      <c r="AG65" s="303" t="str">
        <f t="shared" si="166"/>
        <v>OK</v>
      </c>
      <c r="AH65" s="341"/>
      <c r="AI65" s="197" t="str">
        <f t="shared" si="156"/>
        <v/>
      </c>
      <c r="AJ65" s="341"/>
      <c r="AK65" s="307" t="str">
        <f t="shared" si="157"/>
        <v/>
      </c>
      <c r="AL65" s="293" t="str">
        <f t="shared" si="167"/>
        <v/>
      </c>
      <c r="AM65" s="341"/>
      <c r="AN65" s="303" t="str">
        <f t="array" ref="AN65">IF(D65="","",INDEX(구분표!$I$2:$I$319, MATCH(1,(구분표!$E$2:$E$319='1추일출'!C65)*(구분표!$F$2:$F$319='1추일출'!D65)*(구분표!$G$2:$G$319='1추일출'!B65),0)))</f>
        <v/>
      </c>
      <c r="AO65" s="341"/>
      <c r="AP65" s="303"/>
      <c r="AQ65" s="341"/>
      <c r="AR65" s="173">
        <f t="shared" si="158"/>
        <v>0</v>
      </c>
      <c r="AS65" s="173">
        <f t="shared" si="159"/>
        <v>0</v>
      </c>
    </row>
    <row r="66" spans="1:45" ht="60" customHeight="1">
      <c r="A66" s="301">
        <f>COUNTA($C$8:C66)-COUNTBLANK($C$8:C66)+5</f>
        <v>5</v>
      </c>
      <c r="B66" s="256" t="str">
        <f t="shared" si="151"/>
        <v/>
      </c>
      <c r="C66" s="256" t="str">
        <f>IF(D66="","",VLOOKUP(D66,구분표!$A$3:$C$223,3,))</f>
        <v/>
      </c>
      <c r="D66" s="256"/>
      <c r="E66" s="301"/>
      <c r="F66" s="301"/>
      <c r="G66" s="301"/>
      <c r="H66" s="356"/>
      <c r="I66" s="292"/>
      <c r="J66" s="292"/>
      <c r="K66" s="348">
        <f t="shared" si="160"/>
        <v>0</v>
      </c>
      <c r="L66" s="292"/>
      <c r="M66" s="292"/>
      <c r="N66" s="464">
        <f t="shared" si="161"/>
        <v>0</v>
      </c>
      <c r="O66" s="382">
        <f t="shared" si="152"/>
        <v>0</v>
      </c>
      <c r="P66" s="383"/>
      <c r="Q66" s="334"/>
      <c r="R66" s="465">
        <f t="shared" si="162"/>
        <v>0</v>
      </c>
      <c r="S66" s="384" t="str">
        <f t="shared" si="163"/>
        <v>X</v>
      </c>
      <c r="T66" s="354"/>
      <c r="U66" s="353"/>
      <c r="V66" s="257"/>
      <c r="W66" s="303"/>
      <c r="X66" s="341"/>
      <c r="Y66" s="302"/>
      <c r="Z66" s="297">
        <f t="shared" si="2"/>
        <v>0</v>
      </c>
      <c r="AA66" s="297">
        <f t="shared" si="3"/>
        <v>0</v>
      </c>
      <c r="AB66" s="303" t="str">
        <f t="shared" si="164"/>
        <v>OK</v>
      </c>
      <c r="AC66" s="341"/>
      <c r="AD66" s="302"/>
      <c r="AE66" s="297">
        <f t="shared" si="5"/>
        <v>0</v>
      </c>
      <c r="AF66" s="297">
        <f t="shared" si="165"/>
        <v>0</v>
      </c>
      <c r="AG66" s="303" t="str">
        <f t="shared" si="166"/>
        <v>OK</v>
      </c>
      <c r="AH66" s="341"/>
      <c r="AI66" s="197" t="str">
        <f t="shared" si="156"/>
        <v/>
      </c>
      <c r="AJ66" s="341"/>
      <c r="AK66" s="307" t="str">
        <f t="shared" si="157"/>
        <v/>
      </c>
      <c r="AL66" s="293" t="str">
        <f t="shared" si="167"/>
        <v/>
      </c>
      <c r="AM66" s="341"/>
      <c r="AN66" s="303" t="str">
        <f t="array" ref="AN66">IF(D66="","",INDEX(구분표!$I$2:$I$319, MATCH(1,(구분표!$E$2:$E$319='1추일출'!C66)*(구분표!$F$2:$F$319='1추일출'!D66)*(구분표!$G$2:$G$319='1추일출'!B66),0)))</f>
        <v/>
      </c>
      <c r="AO66" s="341"/>
      <c r="AP66" s="303"/>
      <c r="AQ66" s="341"/>
      <c r="AR66" s="173">
        <f t="shared" si="158"/>
        <v>0</v>
      </c>
      <c r="AS66" s="173">
        <f t="shared" si="159"/>
        <v>0</v>
      </c>
    </row>
    <row r="67" spans="1:45" ht="60" customHeight="1">
      <c r="A67" s="301">
        <f>COUNTA($C$8:C67)-COUNTBLANK($C$8:C67)+5</f>
        <v>5</v>
      </c>
      <c r="B67" s="256" t="str">
        <f t="shared" si="151"/>
        <v/>
      </c>
      <c r="C67" s="256" t="str">
        <f>IF(D67="","",VLOOKUP(D67,구분표!$A$3:$C$223,3,))</f>
        <v/>
      </c>
      <c r="D67" s="256"/>
      <c r="E67" s="301"/>
      <c r="F67" s="301"/>
      <c r="G67" s="301"/>
      <c r="H67" s="304"/>
      <c r="I67" s="292"/>
      <c r="J67" s="292"/>
      <c r="K67" s="348">
        <f t="shared" si="160"/>
        <v>0</v>
      </c>
      <c r="L67" s="292"/>
      <c r="M67" s="292"/>
      <c r="N67" s="464">
        <f t="shared" si="161"/>
        <v>0</v>
      </c>
      <c r="O67" s="382">
        <f t="shared" si="152"/>
        <v>0</v>
      </c>
      <c r="P67" s="383"/>
      <c r="Q67" s="334"/>
      <c r="R67" s="465">
        <f t="shared" si="162"/>
        <v>0</v>
      </c>
      <c r="S67" s="384" t="str">
        <f t="shared" si="163"/>
        <v>X</v>
      </c>
      <c r="T67" s="354"/>
      <c r="U67" s="353"/>
      <c r="V67" s="257"/>
      <c r="W67" s="303"/>
      <c r="X67" s="341"/>
      <c r="Y67" s="302"/>
      <c r="Z67" s="297">
        <f t="shared" si="2"/>
        <v>0</v>
      </c>
      <c r="AA67" s="297">
        <f t="shared" si="3"/>
        <v>0</v>
      </c>
      <c r="AB67" s="303" t="str">
        <f t="shared" si="164"/>
        <v>OK</v>
      </c>
      <c r="AC67" s="341"/>
      <c r="AD67" s="302"/>
      <c r="AE67" s="297">
        <f t="shared" si="5"/>
        <v>0</v>
      </c>
      <c r="AF67" s="297">
        <f t="shared" si="165"/>
        <v>0</v>
      </c>
      <c r="AG67" s="303" t="str">
        <f t="shared" si="166"/>
        <v>OK</v>
      </c>
      <c r="AH67" s="341"/>
      <c r="AI67" s="197" t="str">
        <f t="shared" si="156"/>
        <v/>
      </c>
      <c r="AJ67" s="341"/>
      <c r="AK67" s="307" t="str">
        <f t="shared" si="157"/>
        <v/>
      </c>
      <c r="AL67" s="293" t="str">
        <f t="shared" si="167"/>
        <v/>
      </c>
      <c r="AM67" s="341"/>
      <c r="AN67" s="303" t="str">
        <f t="array" ref="AN67">IF(D67="","",INDEX(구분표!$I$2:$I$319, MATCH(1,(구분표!$E$2:$E$319='1추일출'!C67)*(구분표!$F$2:$F$319='1추일출'!D67)*(구분표!$G$2:$G$319='1추일출'!B67),0)))</f>
        <v/>
      </c>
      <c r="AO67" s="341"/>
      <c r="AP67" s="303"/>
      <c r="AQ67" s="341"/>
      <c r="AR67" s="173">
        <f t="shared" si="158"/>
        <v>0</v>
      </c>
      <c r="AS67" s="173">
        <f t="shared" si="159"/>
        <v>0</v>
      </c>
    </row>
    <row r="68" spans="1:45" ht="60" customHeight="1">
      <c r="A68" s="301">
        <f>COUNTA($C$8:C68)-COUNTBLANK($C$8:C68)+5</f>
        <v>5</v>
      </c>
      <c r="B68" s="256" t="str">
        <f t="shared" si="151"/>
        <v/>
      </c>
      <c r="C68" s="256" t="str">
        <f>IF(D68="","",VLOOKUP(D68,구분표!$A$3:$C$223,3,))</f>
        <v/>
      </c>
      <c r="D68" s="256"/>
      <c r="E68" s="301"/>
      <c r="F68" s="301"/>
      <c r="G68" s="301"/>
      <c r="H68" s="304"/>
      <c r="I68" s="292"/>
      <c r="J68" s="292"/>
      <c r="K68" s="348">
        <f t="shared" si="160"/>
        <v>0</v>
      </c>
      <c r="L68" s="292"/>
      <c r="M68" s="292"/>
      <c r="N68" s="464">
        <f t="shared" si="161"/>
        <v>0</v>
      </c>
      <c r="O68" s="382">
        <f t="shared" si="152"/>
        <v>0</v>
      </c>
      <c r="P68" s="383"/>
      <c r="Q68" s="334"/>
      <c r="R68" s="465">
        <f t="shared" si="162"/>
        <v>0</v>
      </c>
      <c r="S68" s="384" t="str">
        <f t="shared" si="163"/>
        <v>X</v>
      </c>
      <c r="T68" s="354"/>
      <c r="U68" s="353"/>
      <c r="V68" s="257"/>
      <c r="W68" s="188"/>
      <c r="Y68" s="196"/>
      <c r="Z68" s="297">
        <f t="shared" ref="Z68:Z112" si="168">IF($Y68&lt;&gt;"도비",IF($W68="국도비","직접입력",SUM($L68:$M68)),)</f>
        <v>0</v>
      </c>
      <c r="AA68" s="297">
        <f t="shared" ref="AA68:AA112" si="169">IF($Y68="도비",SUM($L68:$M68),IF($W68="국도비","직접입력",SUM($L68:$M68)-$Z68))</f>
        <v>0</v>
      </c>
      <c r="AB68" s="303" t="str">
        <f t="shared" si="164"/>
        <v>OK</v>
      </c>
      <c r="AC68" s="341"/>
      <c r="AD68" s="302"/>
      <c r="AE68" s="297">
        <f t="shared" ref="AE68:AE112" si="170">IF($Y68&lt;&gt;"도비",IF($W68="국도비","직접입력",SUM($P68:$Q68)),)</f>
        <v>0</v>
      </c>
      <c r="AF68" s="297">
        <f t="shared" si="165"/>
        <v>0</v>
      </c>
      <c r="AG68" s="188" t="str">
        <f t="shared" si="166"/>
        <v>OK</v>
      </c>
      <c r="AI68" s="197" t="str">
        <f t="shared" si="156"/>
        <v/>
      </c>
      <c r="AK68" s="231" t="str">
        <f t="shared" si="157"/>
        <v/>
      </c>
      <c r="AL68" s="187" t="str">
        <f t="shared" si="167"/>
        <v/>
      </c>
      <c r="AN68" s="188" t="str">
        <f t="array" ref="AN68">IF(D68="","",INDEX(구분표!$I$2:$I$319, MATCH(1,(구분표!$E$2:$E$319='1추일출'!C68)*(구분표!$F$2:$F$319='1추일출'!D68)*(구분표!$G$2:$G$319='1추일출'!B68),0)))</f>
        <v/>
      </c>
      <c r="AP68" s="188"/>
      <c r="AR68" s="173">
        <f t="shared" si="158"/>
        <v>0</v>
      </c>
      <c r="AS68" s="173">
        <f t="shared" si="159"/>
        <v>0</v>
      </c>
    </row>
    <row r="69" spans="1:45" ht="60" customHeight="1">
      <c r="A69" s="372"/>
      <c r="B69" s="255" t="s">
        <v>438</v>
      </c>
      <c r="C69" s="255"/>
      <c r="D69" s="255"/>
      <c r="E69" s="255"/>
      <c r="F69" s="255"/>
      <c r="G69" s="255"/>
      <c r="H69" s="385"/>
      <c r="I69" s="374">
        <f t="shared" ref="I69:R69" si="171">SUBTOTAL(9,I70:I79)</f>
        <v>0</v>
      </c>
      <c r="J69" s="374">
        <f t="shared" si="171"/>
        <v>0</v>
      </c>
      <c r="K69" s="374">
        <f t="shared" si="171"/>
        <v>0</v>
      </c>
      <c r="L69" s="374">
        <f t="shared" si="171"/>
        <v>0</v>
      </c>
      <c r="M69" s="374">
        <f t="shared" si="171"/>
        <v>0</v>
      </c>
      <c r="N69" s="375">
        <f t="shared" si="171"/>
        <v>0</v>
      </c>
      <c r="O69" s="376">
        <f t="shared" si="171"/>
        <v>0</v>
      </c>
      <c r="P69" s="377">
        <f t="shared" si="171"/>
        <v>0</v>
      </c>
      <c r="Q69" s="333">
        <f t="shared" si="171"/>
        <v>0</v>
      </c>
      <c r="R69" s="376">
        <f t="shared" si="171"/>
        <v>0</v>
      </c>
      <c r="S69" s="378"/>
      <c r="T69" s="379"/>
      <c r="U69" s="380"/>
      <c r="V69" s="381"/>
      <c r="W69" s="188"/>
      <c r="Y69" s="196"/>
      <c r="Z69" s="297"/>
      <c r="AA69" s="297"/>
      <c r="AB69" s="303"/>
      <c r="AC69" s="341"/>
      <c r="AD69" s="302"/>
      <c r="AE69" s="297"/>
      <c r="AF69" s="297"/>
      <c r="AG69" s="188"/>
      <c r="AI69" s="197"/>
      <c r="AK69" s="194"/>
      <c r="AL69" s="187"/>
      <c r="AN69" s="188"/>
      <c r="AP69" s="188"/>
      <c r="AR69" s="252">
        <f>SUBTOTAL(9,AR70:AR79)</f>
        <v>0</v>
      </c>
      <c r="AS69" s="253">
        <f>SUBTOTAL(9,AS70:AS79)</f>
        <v>0</v>
      </c>
    </row>
    <row r="70" spans="1:45" ht="60" customHeight="1">
      <c r="A70" s="301">
        <f>COUNTA($C$8:C70)-COUNTBLANK($C$8:C70)+6</f>
        <v>5</v>
      </c>
      <c r="B70" s="256" t="str">
        <f t="shared" ref="B70:B79" si="172">IF(C70="","",MID($B$69,2,7))</f>
        <v/>
      </c>
      <c r="C70" s="256" t="str">
        <f>IF(D70="","",VLOOKUP(D70,구분표!$A$3:$C$223,3,))</f>
        <v/>
      </c>
      <c r="D70" s="256"/>
      <c r="E70" s="301"/>
      <c r="F70" s="301"/>
      <c r="G70" s="301"/>
      <c r="H70" s="304"/>
      <c r="I70" s="292"/>
      <c r="J70" s="292"/>
      <c r="K70" s="348">
        <f t="shared" ref="K70:K109" si="173">I70-J70</f>
        <v>0</v>
      </c>
      <c r="L70" s="292"/>
      <c r="M70" s="292"/>
      <c r="N70" s="464">
        <f t="shared" si="15"/>
        <v>0</v>
      </c>
      <c r="O70" s="382">
        <f t="shared" ref="O70:O79" si="174">R70-N70</f>
        <v>0</v>
      </c>
      <c r="P70" s="383"/>
      <c r="Q70" s="334"/>
      <c r="R70" s="465">
        <f t="shared" si="17"/>
        <v>0</v>
      </c>
      <c r="S70" s="384" t="str">
        <f t="shared" ref="S70:S79" si="175">IF(AND((N70=0),(R70&gt;0)),"O",IF(AND((L70&lt;0),(N70-R70&lt;0)),"O","X"))</f>
        <v>X</v>
      </c>
      <c r="T70" s="354"/>
      <c r="U70" s="353"/>
      <c r="V70" s="257"/>
      <c r="W70" s="188"/>
      <c r="Y70" s="196"/>
      <c r="Z70" s="297">
        <f t="shared" si="168"/>
        <v>0</v>
      </c>
      <c r="AA70" s="297">
        <f t="shared" si="169"/>
        <v>0</v>
      </c>
      <c r="AB70" s="303" t="str">
        <f t="shared" si="164"/>
        <v>OK</v>
      </c>
      <c r="AC70" s="341"/>
      <c r="AD70" s="302"/>
      <c r="AE70" s="297">
        <f t="shared" si="170"/>
        <v>0</v>
      </c>
      <c r="AF70" s="297">
        <f t="shared" ref="AF70" si="176">IF($Y70="도비",SUM(P70:Q70),IF($W70="국도비","직접입력",SUM(P70:Q70)-AE70))</f>
        <v>0</v>
      </c>
      <c r="AG70" s="188" t="str">
        <f t="shared" ref="AG70" si="177">IF(SUM(P70:Q70)=SUM(AE70:AF70),"OK","검토")</f>
        <v>OK</v>
      </c>
      <c r="AI70" s="197" t="str">
        <f t="shared" ref="AI70:AI79" si="178">IF(W70="","",IF(W70="도비","세입없음","직접입력"))</f>
        <v/>
      </c>
      <c r="AJ70" s="341"/>
      <c r="AK70" s="307" t="str">
        <f t="shared" ref="AK70:AK79" si="179">IF(AI70="","",COUNTIF($AI$7:$AI$112,AI70))</f>
        <v/>
      </c>
      <c r="AL70" s="293" t="str">
        <f t="shared" ref="AL70:AL109" si="180">IF(Y70="","",IF(AND(Y70="도비",AI70="세입없음"),"OK",IF(AND(Y70&lt;&gt;"도비",AI70&lt;&gt;""),"OK","@@")))</f>
        <v/>
      </c>
      <c r="AM70" s="341"/>
      <c r="AN70" s="303" t="str">
        <f t="array" ref="AN70">IF(D70="","",INDEX(구분표!$I$2:$I$319, MATCH(1,(구분표!$E$2:$E$319='1추일출'!C70)*(구분표!$F$2:$F$319='1추일출'!D70)*(구분표!$G$2:$G$319='1추일출'!B70),0)))</f>
        <v/>
      </c>
      <c r="AO70" s="341"/>
      <c r="AP70" s="303"/>
      <c r="AQ70" s="341"/>
      <c r="AR70" s="173">
        <f t="shared" ref="AR70:AR79" si="181">IF(O70&lt;0,O70,0)</f>
        <v>0</v>
      </c>
      <c r="AS70" s="173">
        <f t="shared" ref="AS70:AS79" si="182">IF(O70&gt;0,O70,0)</f>
        <v>0</v>
      </c>
    </row>
    <row r="71" spans="1:45" ht="60" customHeight="1">
      <c r="A71" s="301">
        <f>COUNTA($C$8:C71)-COUNTBLANK($C$8:C71)+6</f>
        <v>5</v>
      </c>
      <c r="B71" s="256" t="str">
        <f t="shared" si="172"/>
        <v/>
      </c>
      <c r="C71" s="256" t="str">
        <f>IF(D71="","",VLOOKUP(D71,구분표!$A$3:$C$223,3,))</f>
        <v/>
      </c>
      <c r="D71" s="256"/>
      <c r="E71" s="301"/>
      <c r="F71" s="301"/>
      <c r="G71" s="301"/>
      <c r="H71" s="304"/>
      <c r="I71" s="292"/>
      <c r="J71" s="292"/>
      <c r="K71" s="348">
        <f t="shared" si="173"/>
        <v>0</v>
      </c>
      <c r="L71" s="292"/>
      <c r="M71" s="292"/>
      <c r="N71" s="464">
        <f t="shared" si="15"/>
        <v>0</v>
      </c>
      <c r="O71" s="382">
        <f t="shared" si="174"/>
        <v>0</v>
      </c>
      <c r="P71" s="383"/>
      <c r="Q71" s="334"/>
      <c r="R71" s="465">
        <f t="shared" si="17"/>
        <v>0</v>
      </c>
      <c r="S71" s="384" t="str">
        <f t="shared" si="175"/>
        <v>X</v>
      </c>
      <c r="T71" s="354"/>
      <c r="U71" s="353"/>
      <c r="V71" s="257"/>
      <c r="W71" s="248"/>
      <c r="Y71" s="196"/>
      <c r="Z71" s="297">
        <f t="shared" si="168"/>
        <v>0</v>
      </c>
      <c r="AA71" s="297">
        <f t="shared" si="169"/>
        <v>0</v>
      </c>
      <c r="AB71" s="303" t="str">
        <f t="shared" si="164"/>
        <v>OK</v>
      </c>
      <c r="AC71" s="341"/>
      <c r="AD71" s="302"/>
      <c r="AE71" s="297">
        <f t="shared" si="170"/>
        <v>0</v>
      </c>
      <c r="AF71" s="297">
        <f t="shared" ref="AF71:AF79" si="183">IF($Y71="도비",SUM(P71:Q71),IF($W71="국도비","직접입력",SUM(P71:Q71)-AE71))</f>
        <v>0</v>
      </c>
      <c r="AG71" s="188" t="str">
        <f t="shared" ref="AG71:AG79" si="184">IF(SUM(P71:Q71)=SUM(AE71:AF71),"OK","검토")</f>
        <v>OK</v>
      </c>
      <c r="AI71" s="197" t="str">
        <f t="shared" si="178"/>
        <v/>
      </c>
      <c r="AK71" s="194" t="str">
        <f t="shared" si="179"/>
        <v/>
      </c>
      <c r="AL71" s="187" t="str">
        <f t="shared" si="180"/>
        <v/>
      </c>
      <c r="AN71" s="188" t="str">
        <f t="array" ref="AN71">IF(D71="","",INDEX(구분표!$I$2:$I$319, MATCH(1,(구분표!$E$2:$E$319='1추일출'!C71)*(구분표!$F$2:$F$319='1추일출'!D71)*(구분표!$G$2:$G$319='1추일출'!B71),0)))</f>
        <v/>
      </c>
      <c r="AP71" s="188"/>
      <c r="AR71" s="173">
        <f t="shared" si="181"/>
        <v>0</v>
      </c>
      <c r="AS71" s="173">
        <f t="shared" si="182"/>
        <v>0</v>
      </c>
    </row>
    <row r="72" spans="1:45" ht="60" customHeight="1">
      <c r="A72" s="301">
        <f>COUNTA($C$8:C72)-COUNTBLANK($C$8:C72)+6</f>
        <v>5</v>
      </c>
      <c r="B72" s="256" t="str">
        <f t="shared" si="172"/>
        <v/>
      </c>
      <c r="C72" s="256" t="str">
        <f>IF(D72="","",VLOOKUP(D72,구분표!$A$3:$C$223,3,))</f>
        <v/>
      </c>
      <c r="D72" s="256"/>
      <c r="E72" s="301"/>
      <c r="F72" s="301"/>
      <c r="G72" s="301"/>
      <c r="H72" s="304"/>
      <c r="I72" s="292"/>
      <c r="J72" s="292"/>
      <c r="K72" s="348">
        <f t="shared" si="173"/>
        <v>0</v>
      </c>
      <c r="L72" s="292"/>
      <c r="M72" s="292"/>
      <c r="N72" s="464">
        <f t="shared" si="15"/>
        <v>0</v>
      </c>
      <c r="O72" s="382">
        <f t="shared" si="174"/>
        <v>0</v>
      </c>
      <c r="P72" s="383"/>
      <c r="Q72" s="334"/>
      <c r="R72" s="465">
        <f t="shared" si="17"/>
        <v>0</v>
      </c>
      <c r="S72" s="384" t="str">
        <f t="shared" si="175"/>
        <v>X</v>
      </c>
      <c r="T72" s="354"/>
      <c r="U72" s="353"/>
      <c r="V72" s="257"/>
      <c r="W72" s="248"/>
      <c r="Y72" s="196"/>
      <c r="Z72" s="297">
        <f t="shared" si="168"/>
        <v>0</v>
      </c>
      <c r="AA72" s="297">
        <f t="shared" si="169"/>
        <v>0</v>
      </c>
      <c r="AB72" s="303" t="str">
        <f t="shared" si="164"/>
        <v>OK</v>
      </c>
      <c r="AC72" s="341"/>
      <c r="AD72" s="302"/>
      <c r="AE72" s="297">
        <f t="shared" si="170"/>
        <v>0</v>
      </c>
      <c r="AF72" s="297">
        <f t="shared" si="183"/>
        <v>0</v>
      </c>
      <c r="AG72" s="188" t="str">
        <f t="shared" si="184"/>
        <v>OK</v>
      </c>
      <c r="AI72" s="197" t="str">
        <f t="shared" si="178"/>
        <v/>
      </c>
      <c r="AK72" s="194" t="str">
        <f t="shared" si="179"/>
        <v/>
      </c>
      <c r="AL72" s="187" t="str">
        <f t="shared" si="180"/>
        <v/>
      </c>
      <c r="AN72" s="188" t="str">
        <f t="array" ref="AN72">IF(D72="","",INDEX(구분표!$I$2:$I$319, MATCH(1,(구분표!$E$2:$E$319='1추일출'!C72)*(구분표!$F$2:$F$319='1추일출'!D72)*(구분표!$G$2:$G$319='1추일출'!B72),0)))</f>
        <v/>
      </c>
      <c r="AP72" s="188"/>
      <c r="AR72" s="173">
        <f t="shared" si="181"/>
        <v>0</v>
      </c>
      <c r="AS72" s="173">
        <f t="shared" si="182"/>
        <v>0</v>
      </c>
    </row>
    <row r="73" spans="1:45" ht="60" customHeight="1">
      <c r="A73" s="301">
        <f>COUNTA($C$8:C73)-COUNTBLANK($C$8:C73)+6</f>
        <v>5</v>
      </c>
      <c r="B73" s="256" t="str">
        <f t="shared" si="172"/>
        <v/>
      </c>
      <c r="C73" s="256" t="str">
        <f>IF(D73="","",VLOOKUP(D73,구분표!$A$3:$C$223,3,))</f>
        <v/>
      </c>
      <c r="D73" s="256"/>
      <c r="E73" s="301"/>
      <c r="F73" s="301"/>
      <c r="G73" s="301"/>
      <c r="H73" s="304"/>
      <c r="I73" s="292"/>
      <c r="J73" s="292"/>
      <c r="K73" s="348">
        <f t="shared" ref="K73" si="185">I73-J73</f>
        <v>0</v>
      </c>
      <c r="L73" s="292"/>
      <c r="M73" s="292"/>
      <c r="N73" s="464">
        <f t="shared" si="15"/>
        <v>0</v>
      </c>
      <c r="O73" s="382">
        <f t="shared" si="174"/>
        <v>0</v>
      </c>
      <c r="P73" s="383"/>
      <c r="Q73" s="334"/>
      <c r="R73" s="465">
        <f t="shared" si="17"/>
        <v>0</v>
      </c>
      <c r="S73" s="384" t="str">
        <f t="shared" si="175"/>
        <v>X</v>
      </c>
      <c r="T73" s="354"/>
      <c r="U73" s="353"/>
      <c r="V73" s="257"/>
      <c r="W73" s="303"/>
      <c r="X73" s="341"/>
      <c r="Y73" s="302"/>
      <c r="Z73" s="297">
        <f t="shared" si="168"/>
        <v>0</v>
      </c>
      <c r="AA73" s="297">
        <f t="shared" si="169"/>
        <v>0</v>
      </c>
      <c r="AB73" s="303" t="str">
        <f t="shared" si="164"/>
        <v>OK</v>
      </c>
      <c r="AC73" s="341"/>
      <c r="AD73" s="302"/>
      <c r="AE73" s="297">
        <f t="shared" si="170"/>
        <v>0</v>
      </c>
      <c r="AF73" s="297">
        <f t="shared" si="183"/>
        <v>0</v>
      </c>
      <c r="AG73" s="188" t="str">
        <f t="shared" si="184"/>
        <v>OK</v>
      </c>
      <c r="AH73" s="341"/>
      <c r="AI73" s="197" t="str">
        <f t="shared" si="178"/>
        <v/>
      </c>
      <c r="AJ73" s="341"/>
      <c r="AK73" s="307" t="str">
        <f t="shared" si="179"/>
        <v/>
      </c>
      <c r="AL73" s="293" t="str">
        <f t="shared" ref="AL73" si="186">IF(Y73="","",IF(AND(Y73="도비",AI73="세입없음"),"OK",IF(AND(Y73&lt;&gt;"도비",AI73&lt;&gt;""),"OK","@@")))</f>
        <v/>
      </c>
      <c r="AM73" s="341"/>
      <c r="AN73" s="303" t="str">
        <f t="array" ref="AN73">IF(D73="","",INDEX(구분표!$I$2:$I$319, MATCH(1,(구분표!$E$2:$E$319='1추일출'!C73)*(구분표!$F$2:$F$319='1추일출'!D73)*(구분표!$G$2:$G$319='1추일출'!B73),0)))</f>
        <v/>
      </c>
      <c r="AO73" s="341"/>
      <c r="AP73" s="303"/>
      <c r="AQ73" s="341"/>
      <c r="AR73" s="173">
        <f t="shared" si="181"/>
        <v>0</v>
      </c>
      <c r="AS73" s="173">
        <f t="shared" si="182"/>
        <v>0</v>
      </c>
    </row>
    <row r="74" spans="1:45" ht="60" customHeight="1">
      <c r="A74" s="301">
        <f>COUNTA($C$8:C74)-COUNTBLANK($C$8:C74)+6</f>
        <v>5</v>
      </c>
      <c r="B74" s="256" t="str">
        <f t="shared" si="172"/>
        <v/>
      </c>
      <c r="C74" s="256" t="str">
        <f>IF(D74="","",VLOOKUP(D74,구분표!$A$3:$C$223,3,))</f>
        <v/>
      </c>
      <c r="D74" s="256"/>
      <c r="E74" s="301"/>
      <c r="F74" s="301"/>
      <c r="G74" s="301"/>
      <c r="H74" s="304"/>
      <c r="I74" s="292"/>
      <c r="J74" s="292"/>
      <c r="K74" s="348">
        <f t="shared" si="173"/>
        <v>0</v>
      </c>
      <c r="L74" s="292"/>
      <c r="M74" s="292"/>
      <c r="N74" s="464">
        <f t="shared" ref="N74:N112" si="187">I74+L74+M74</f>
        <v>0</v>
      </c>
      <c r="O74" s="382">
        <f t="shared" si="174"/>
        <v>0</v>
      </c>
      <c r="P74" s="383"/>
      <c r="Q74" s="334"/>
      <c r="R74" s="465">
        <f t="shared" ref="R74:R112" si="188">I74+P74+Q74</f>
        <v>0</v>
      </c>
      <c r="S74" s="384" t="str">
        <f t="shared" si="175"/>
        <v>X</v>
      </c>
      <c r="T74" s="354"/>
      <c r="U74" s="353"/>
      <c r="V74" s="257"/>
      <c r="W74" s="196"/>
      <c r="X74" s="261"/>
      <c r="Y74" s="196"/>
      <c r="Z74" s="297">
        <f t="shared" si="168"/>
        <v>0</v>
      </c>
      <c r="AA74" s="297">
        <f t="shared" si="169"/>
        <v>0</v>
      </c>
      <c r="AB74" s="303" t="str">
        <f t="shared" si="164"/>
        <v>OK</v>
      </c>
      <c r="AC74" s="341"/>
      <c r="AD74" s="302"/>
      <c r="AE74" s="297">
        <f t="shared" si="170"/>
        <v>0</v>
      </c>
      <c r="AF74" s="297">
        <f t="shared" si="183"/>
        <v>0</v>
      </c>
      <c r="AG74" s="188" t="str">
        <f t="shared" si="184"/>
        <v>OK</v>
      </c>
      <c r="AI74" s="197" t="str">
        <f t="shared" si="178"/>
        <v/>
      </c>
      <c r="AK74" s="194" t="str">
        <f t="shared" si="179"/>
        <v/>
      </c>
      <c r="AL74" s="187" t="str">
        <f t="shared" si="180"/>
        <v/>
      </c>
      <c r="AN74" s="188" t="str">
        <f t="array" ref="AN74">IF(D74="","",INDEX(구분표!$I$2:$I$319, MATCH(1,(구분표!$E$2:$E$319='1추일출'!C74)*(구분표!$F$2:$F$319='1추일출'!D74)*(구분표!$G$2:$G$319='1추일출'!B74),0)))</f>
        <v/>
      </c>
      <c r="AP74" s="188"/>
      <c r="AR74" s="173">
        <f t="shared" si="181"/>
        <v>0</v>
      </c>
      <c r="AS74" s="173">
        <f t="shared" si="182"/>
        <v>0</v>
      </c>
    </row>
    <row r="75" spans="1:45" ht="60" customHeight="1">
      <c r="A75" s="301">
        <f>COUNTA($C$8:C75)-COUNTBLANK($C$8:C75)+6</f>
        <v>5</v>
      </c>
      <c r="B75" s="256" t="str">
        <f t="shared" si="172"/>
        <v/>
      </c>
      <c r="C75" s="256" t="str">
        <f>IF(D75="","",VLOOKUP(D75,구분표!$A$3:$C$223,3,))</f>
        <v/>
      </c>
      <c r="D75" s="256"/>
      <c r="E75" s="301"/>
      <c r="F75" s="301"/>
      <c r="G75" s="301"/>
      <c r="H75" s="304"/>
      <c r="I75" s="292"/>
      <c r="J75" s="292"/>
      <c r="K75" s="348">
        <f t="shared" si="173"/>
        <v>0</v>
      </c>
      <c r="L75" s="292"/>
      <c r="M75" s="292"/>
      <c r="N75" s="464">
        <f t="shared" si="187"/>
        <v>0</v>
      </c>
      <c r="O75" s="382">
        <f t="shared" si="174"/>
        <v>0</v>
      </c>
      <c r="P75" s="383"/>
      <c r="Q75" s="334"/>
      <c r="R75" s="465">
        <f t="shared" si="188"/>
        <v>0</v>
      </c>
      <c r="S75" s="384" t="str">
        <f t="shared" si="175"/>
        <v>X</v>
      </c>
      <c r="T75" s="354"/>
      <c r="U75" s="353"/>
      <c r="V75" s="257"/>
      <c r="W75" s="196"/>
      <c r="X75" s="261"/>
      <c r="Y75" s="196"/>
      <c r="Z75" s="297">
        <f t="shared" si="168"/>
        <v>0</v>
      </c>
      <c r="AA75" s="297">
        <f t="shared" si="169"/>
        <v>0</v>
      </c>
      <c r="AB75" s="303" t="str">
        <f t="shared" si="164"/>
        <v>OK</v>
      </c>
      <c r="AC75" s="341"/>
      <c r="AD75" s="302"/>
      <c r="AE75" s="297">
        <f t="shared" si="170"/>
        <v>0</v>
      </c>
      <c r="AF75" s="297">
        <f t="shared" si="183"/>
        <v>0</v>
      </c>
      <c r="AG75" s="188" t="str">
        <f t="shared" si="184"/>
        <v>OK</v>
      </c>
      <c r="AI75" s="197" t="str">
        <f t="shared" si="178"/>
        <v/>
      </c>
      <c r="AK75" s="194" t="str">
        <f t="shared" si="179"/>
        <v/>
      </c>
      <c r="AL75" s="187" t="str">
        <f t="shared" si="180"/>
        <v/>
      </c>
      <c r="AN75" s="188" t="str">
        <f t="array" ref="AN75">IF(D75="","",INDEX(구분표!$I$2:$I$319, MATCH(1,(구분표!$E$2:$E$319='1추일출'!C75)*(구분표!$F$2:$F$319='1추일출'!D75)*(구분표!$G$2:$G$319='1추일출'!B75),0)))</f>
        <v/>
      </c>
      <c r="AP75" s="188"/>
      <c r="AR75" s="173">
        <f t="shared" si="181"/>
        <v>0</v>
      </c>
      <c r="AS75" s="173">
        <f t="shared" si="182"/>
        <v>0</v>
      </c>
    </row>
    <row r="76" spans="1:45" ht="60" customHeight="1">
      <c r="A76" s="301">
        <f>COUNTA($C$8:C76)-COUNTBLANK($C$8:C76)+6</f>
        <v>5</v>
      </c>
      <c r="B76" s="256" t="str">
        <f t="shared" si="172"/>
        <v/>
      </c>
      <c r="C76" s="256" t="str">
        <f>IF(D76="","",VLOOKUP(D76,구분표!$A$3:$C$223,3,))</f>
        <v/>
      </c>
      <c r="D76" s="256"/>
      <c r="E76" s="301"/>
      <c r="F76" s="301"/>
      <c r="G76" s="301"/>
      <c r="H76" s="304"/>
      <c r="I76" s="292"/>
      <c r="J76" s="292"/>
      <c r="K76" s="348">
        <f t="shared" si="173"/>
        <v>0</v>
      </c>
      <c r="L76" s="292"/>
      <c r="M76" s="292"/>
      <c r="N76" s="464">
        <f t="shared" si="187"/>
        <v>0</v>
      </c>
      <c r="O76" s="382">
        <f t="shared" si="174"/>
        <v>0</v>
      </c>
      <c r="P76" s="383"/>
      <c r="Q76" s="334"/>
      <c r="R76" s="465">
        <f t="shared" si="188"/>
        <v>0</v>
      </c>
      <c r="S76" s="384" t="str">
        <f t="shared" si="175"/>
        <v>X</v>
      </c>
      <c r="T76" s="354"/>
      <c r="U76" s="353"/>
      <c r="V76" s="257"/>
      <c r="W76" s="302"/>
      <c r="X76" s="341"/>
      <c r="Y76" s="302"/>
      <c r="Z76" s="297">
        <f t="shared" si="168"/>
        <v>0</v>
      </c>
      <c r="AA76" s="297">
        <f t="shared" si="169"/>
        <v>0</v>
      </c>
      <c r="AB76" s="303" t="str">
        <f t="shared" si="164"/>
        <v>OK</v>
      </c>
      <c r="AC76" s="341"/>
      <c r="AD76" s="302"/>
      <c r="AE76" s="297">
        <f t="shared" si="170"/>
        <v>0</v>
      </c>
      <c r="AF76" s="297">
        <f t="shared" si="183"/>
        <v>0</v>
      </c>
      <c r="AG76" s="188" t="str">
        <f t="shared" si="184"/>
        <v>OK</v>
      </c>
      <c r="AH76" s="341"/>
      <c r="AI76" s="197" t="str">
        <f t="shared" si="178"/>
        <v/>
      </c>
      <c r="AJ76" s="341"/>
      <c r="AK76" s="307" t="str">
        <f t="shared" si="179"/>
        <v/>
      </c>
      <c r="AL76" s="293" t="str">
        <f t="shared" si="180"/>
        <v/>
      </c>
      <c r="AM76" s="341"/>
      <c r="AN76" s="303" t="str">
        <f t="array" ref="AN76">IF(D76="","",INDEX(구분표!$I$2:$I$319, MATCH(1,(구분표!$E$2:$E$319='1추일출'!C76)*(구분표!$F$2:$F$319='1추일출'!D76)*(구분표!$G$2:$G$319='1추일출'!B76),0)))</f>
        <v/>
      </c>
      <c r="AO76" s="341"/>
      <c r="AP76" s="303"/>
      <c r="AQ76" s="341"/>
      <c r="AR76" s="173">
        <f t="shared" si="181"/>
        <v>0</v>
      </c>
      <c r="AS76" s="173">
        <f t="shared" si="182"/>
        <v>0</v>
      </c>
    </row>
    <row r="77" spans="1:45" ht="60" customHeight="1">
      <c r="A77" s="301">
        <f>COUNTA($C$8:C77)-COUNTBLANK($C$8:C77)+6</f>
        <v>5</v>
      </c>
      <c r="B77" s="256" t="str">
        <f t="shared" si="172"/>
        <v/>
      </c>
      <c r="C77" s="256" t="str">
        <f>IF(D77="","",VLOOKUP(D77,구분표!$A$3:$C$223,3,))</f>
        <v/>
      </c>
      <c r="D77" s="256"/>
      <c r="E77" s="301"/>
      <c r="F77" s="301"/>
      <c r="G77" s="301"/>
      <c r="H77" s="304"/>
      <c r="I77" s="292"/>
      <c r="J77" s="292"/>
      <c r="K77" s="348">
        <f t="shared" si="173"/>
        <v>0</v>
      </c>
      <c r="L77" s="292"/>
      <c r="M77" s="292"/>
      <c r="N77" s="464">
        <f t="shared" si="187"/>
        <v>0</v>
      </c>
      <c r="O77" s="382">
        <f t="shared" si="174"/>
        <v>0</v>
      </c>
      <c r="P77" s="383"/>
      <c r="Q77" s="334"/>
      <c r="R77" s="465">
        <f t="shared" si="188"/>
        <v>0</v>
      </c>
      <c r="S77" s="384" t="str">
        <f t="shared" si="175"/>
        <v>X</v>
      </c>
      <c r="T77" s="354"/>
      <c r="U77" s="353"/>
      <c r="V77" s="257"/>
      <c r="W77" s="196"/>
      <c r="X77" s="261"/>
      <c r="Y77" s="196"/>
      <c r="Z77" s="297">
        <f t="shared" si="168"/>
        <v>0</v>
      </c>
      <c r="AA77" s="297">
        <f t="shared" si="169"/>
        <v>0</v>
      </c>
      <c r="AB77" s="303" t="str">
        <f t="shared" si="164"/>
        <v>OK</v>
      </c>
      <c r="AC77" s="341"/>
      <c r="AD77" s="302"/>
      <c r="AE77" s="297">
        <f t="shared" si="170"/>
        <v>0</v>
      </c>
      <c r="AF77" s="297">
        <f t="shared" si="183"/>
        <v>0</v>
      </c>
      <c r="AG77" s="188" t="str">
        <f t="shared" si="184"/>
        <v>OK</v>
      </c>
      <c r="AI77" s="197" t="str">
        <f t="shared" si="178"/>
        <v/>
      </c>
      <c r="AK77" s="194" t="str">
        <f t="shared" si="179"/>
        <v/>
      </c>
      <c r="AL77" s="187" t="str">
        <f t="shared" si="180"/>
        <v/>
      </c>
      <c r="AN77" s="188" t="str">
        <f t="array" ref="AN77">IF(D77="","",INDEX(구분표!$I$2:$I$319, MATCH(1,(구분표!$E$2:$E$319='1추일출'!C77)*(구분표!$F$2:$F$319='1추일출'!D77)*(구분표!$G$2:$G$319='1추일출'!B77),0)))</f>
        <v/>
      </c>
      <c r="AP77" s="188"/>
      <c r="AR77" s="173">
        <f t="shared" si="181"/>
        <v>0</v>
      </c>
      <c r="AS77" s="173">
        <f t="shared" si="182"/>
        <v>0</v>
      </c>
    </row>
    <row r="78" spans="1:45" ht="60" customHeight="1">
      <c r="A78" s="301">
        <f>COUNTA($C$8:C78)-COUNTBLANK($C$8:C78)+6</f>
        <v>5</v>
      </c>
      <c r="B78" s="256" t="str">
        <f t="shared" si="172"/>
        <v/>
      </c>
      <c r="C78" s="256" t="str">
        <f>IF(D78="","",VLOOKUP(D78,구분표!$A$3:$C$223,3,))</f>
        <v/>
      </c>
      <c r="D78" s="256"/>
      <c r="E78" s="301"/>
      <c r="F78" s="301"/>
      <c r="G78" s="301"/>
      <c r="H78" s="304"/>
      <c r="I78" s="292"/>
      <c r="J78" s="292"/>
      <c r="K78" s="348">
        <f t="shared" ref="K78:K79" si="189">I78-J78</f>
        <v>0</v>
      </c>
      <c r="L78" s="292"/>
      <c r="M78" s="292"/>
      <c r="N78" s="464">
        <f t="shared" ref="N78:N79" si="190">I78+L78+M78</f>
        <v>0</v>
      </c>
      <c r="O78" s="382">
        <f t="shared" si="174"/>
        <v>0</v>
      </c>
      <c r="P78" s="383"/>
      <c r="Q78" s="334"/>
      <c r="R78" s="465">
        <f t="shared" ref="R78:R79" si="191">I78+P78+Q78</f>
        <v>0</v>
      </c>
      <c r="S78" s="384" t="str">
        <f t="shared" si="175"/>
        <v>X</v>
      </c>
      <c r="T78" s="354"/>
      <c r="U78" s="353"/>
      <c r="V78" s="257"/>
      <c r="W78" s="196"/>
      <c r="X78" s="261"/>
      <c r="Y78" s="196"/>
      <c r="Z78" s="297">
        <f t="shared" si="168"/>
        <v>0</v>
      </c>
      <c r="AA78" s="297">
        <f t="shared" si="169"/>
        <v>0</v>
      </c>
      <c r="AB78" s="303" t="str">
        <f t="shared" si="164"/>
        <v>OK</v>
      </c>
      <c r="AC78" s="341"/>
      <c r="AD78" s="302"/>
      <c r="AE78" s="297">
        <f t="shared" si="170"/>
        <v>0</v>
      </c>
      <c r="AF78" s="297">
        <f t="shared" si="183"/>
        <v>0</v>
      </c>
      <c r="AG78" s="188" t="str">
        <f t="shared" si="184"/>
        <v>OK</v>
      </c>
      <c r="AI78" s="197" t="str">
        <f t="shared" si="178"/>
        <v/>
      </c>
      <c r="AK78" s="231" t="str">
        <f t="shared" si="179"/>
        <v/>
      </c>
      <c r="AL78" s="187" t="str">
        <f t="shared" ref="AL78:AL79" si="192">IF(Y78="","",IF(AND(Y78="도비",AI78="세입없음"),"OK",IF(AND(Y78&lt;&gt;"도비",AI78&lt;&gt;""),"OK","@@")))</f>
        <v/>
      </c>
      <c r="AN78" s="188" t="str">
        <f t="array" ref="AN78">IF(D78="","",INDEX(구분표!$I$2:$I$319, MATCH(1,(구분표!$E$2:$E$319='1추일출'!C78)*(구분표!$F$2:$F$319='1추일출'!D78)*(구분표!$G$2:$G$319='1추일출'!B78),0)))</f>
        <v/>
      </c>
      <c r="AP78" s="188"/>
      <c r="AR78" s="173">
        <f t="shared" si="181"/>
        <v>0</v>
      </c>
      <c r="AS78" s="173">
        <f t="shared" si="182"/>
        <v>0</v>
      </c>
    </row>
    <row r="79" spans="1:45" ht="60" customHeight="1">
      <c r="A79" s="301">
        <f>COUNTA($C$8:C79)-COUNTBLANK($C$8:C79)+6</f>
        <v>5</v>
      </c>
      <c r="B79" s="256" t="str">
        <f t="shared" si="172"/>
        <v/>
      </c>
      <c r="C79" s="256" t="str">
        <f>IF(D79="","",VLOOKUP(D79,구분표!$A$3:$C$223,3,))</f>
        <v/>
      </c>
      <c r="D79" s="256"/>
      <c r="E79" s="301"/>
      <c r="F79" s="301"/>
      <c r="G79" s="301"/>
      <c r="H79" s="304"/>
      <c r="I79" s="292"/>
      <c r="J79" s="292"/>
      <c r="K79" s="348">
        <f t="shared" si="189"/>
        <v>0</v>
      </c>
      <c r="L79" s="292"/>
      <c r="M79" s="292"/>
      <c r="N79" s="464">
        <f t="shared" si="190"/>
        <v>0</v>
      </c>
      <c r="O79" s="382">
        <f t="shared" si="174"/>
        <v>0</v>
      </c>
      <c r="P79" s="383"/>
      <c r="Q79" s="334"/>
      <c r="R79" s="465">
        <f t="shared" si="191"/>
        <v>0</v>
      </c>
      <c r="S79" s="384" t="str">
        <f t="shared" si="175"/>
        <v>X</v>
      </c>
      <c r="T79" s="354"/>
      <c r="U79" s="353"/>
      <c r="V79" s="257"/>
      <c r="W79" s="196"/>
      <c r="X79" s="261"/>
      <c r="Y79" s="196"/>
      <c r="Z79" s="297">
        <f t="shared" si="168"/>
        <v>0</v>
      </c>
      <c r="AA79" s="297">
        <f t="shared" si="169"/>
        <v>0</v>
      </c>
      <c r="AB79" s="303" t="str">
        <f t="shared" si="164"/>
        <v>OK</v>
      </c>
      <c r="AC79" s="341"/>
      <c r="AD79" s="302"/>
      <c r="AE79" s="297">
        <f t="shared" si="170"/>
        <v>0</v>
      </c>
      <c r="AF79" s="297">
        <f t="shared" si="183"/>
        <v>0</v>
      </c>
      <c r="AG79" s="188" t="str">
        <f t="shared" si="184"/>
        <v>OK</v>
      </c>
      <c r="AI79" s="197" t="str">
        <f t="shared" si="178"/>
        <v/>
      </c>
      <c r="AK79" s="231" t="str">
        <f t="shared" si="179"/>
        <v/>
      </c>
      <c r="AL79" s="187" t="str">
        <f t="shared" si="192"/>
        <v/>
      </c>
      <c r="AN79" s="188" t="str">
        <f t="array" ref="AN79">IF(D79="","",INDEX(구분표!$I$2:$I$319, MATCH(1,(구분표!$E$2:$E$319='1추일출'!C79)*(구분표!$F$2:$F$319='1추일출'!D79)*(구분표!$G$2:$G$319='1추일출'!B79),0)))</f>
        <v/>
      </c>
      <c r="AP79" s="188"/>
      <c r="AR79" s="173">
        <f t="shared" si="181"/>
        <v>0</v>
      </c>
      <c r="AS79" s="173">
        <f t="shared" si="182"/>
        <v>0</v>
      </c>
    </row>
    <row r="80" spans="1:45" ht="60" customHeight="1">
      <c r="A80" s="372"/>
      <c r="B80" s="255" t="s">
        <v>439</v>
      </c>
      <c r="C80" s="255"/>
      <c r="D80" s="255"/>
      <c r="E80" s="255"/>
      <c r="F80" s="255"/>
      <c r="G80" s="255"/>
      <c r="H80" s="385"/>
      <c r="I80" s="374">
        <f t="shared" ref="I80:R80" si="193">SUBTOTAL(9,I81:I90)</f>
        <v>0</v>
      </c>
      <c r="J80" s="374">
        <f t="shared" si="193"/>
        <v>0</v>
      </c>
      <c r="K80" s="374">
        <f t="shared" si="193"/>
        <v>0</v>
      </c>
      <c r="L80" s="374">
        <f t="shared" si="193"/>
        <v>0</v>
      </c>
      <c r="M80" s="374">
        <f t="shared" si="193"/>
        <v>0</v>
      </c>
      <c r="N80" s="375">
        <f t="shared" si="193"/>
        <v>0</v>
      </c>
      <c r="O80" s="376">
        <f t="shared" si="193"/>
        <v>0</v>
      </c>
      <c r="P80" s="377">
        <f t="shared" si="193"/>
        <v>0</v>
      </c>
      <c r="Q80" s="333">
        <f t="shared" si="193"/>
        <v>0</v>
      </c>
      <c r="R80" s="376">
        <f t="shared" si="193"/>
        <v>0</v>
      </c>
      <c r="S80" s="378"/>
      <c r="T80" s="379"/>
      <c r="U80" s="380"/>
      <c r="V80" s="381"/>
      <c r="W80" s="188"/>
      <c r="Y80" s="196"/>
      <c r="Z80" s="297"/>
      <c r="AA80" s="297"/>
      <c r="AB80" s="303"/>
      <c r="AC80" s="341"/>
      <c r="AD80" s="302"/>
      <c r="AE80" s="297"/>
      <c r="AF80" s="297"/>
      <c r="AG80" s="188"/>
      <c r="AI80" s="197"/>
      <c r="AK80" s="194"/>
      <c r="AL80" s="187"/>
      <c r="AN80" s="188"/>
      <c r="AP80" s="188"/>
      <c r="AR80" s="252">
        <f>SUBTOTAL(9,AR81:AR90)</f>
        <v>0</v>
      </c>
      <c r="AS80" s="253">
        <f>SUBTOTAL(9,AS81:AS90)</f>
        <v>0</v>
      </c>
    </row>
    <row r="81" spans="1:45" ht="60" customHeight="1">
      <c r="A81" s="301">
        <f>COUNTA($C$8:C81)-COUNTBLANK($C$8:C81)+7</f>
        <v>5</v>
      </c>
      <c r="B81" s="256" t="str">
        <f>IF(C81="","",MID($B$80,2,7))</f>
        <v/>
      </c>
      <c r="C81" s="256" t="str">
        <f>IF(D81="","",VLOOKUP(D81,구분표!$A$3:$C$223,3,))</f>
        <v/>
      </c>
      <c r="D81" s="256"/>
      <c r="E81" s="301"/>
      <c r="F81" s="301"/>
      <c r="G81" s="301"/>
      <c r="H81" s="304"/>
      <c r="I81" s="292"/>
      <c r="J81" s="292"/>
      <c r="K81" s="348">
        <f t="shared" si="173"/>
        <v>0</v>
      </c>
      <c r="L81" s="292"/>
      <c r="M81" s="292"/>
      <c r="N81" s="464">
        <f t="shared" si="187"/>
        <v>0</v>
      </c>
      <c r="O81" s="382">
        <f t="shared" ref="O81:O90" si="194">R81-N81</f>
        <v>0</v>
      </c>
      <c r="P81" s="383"/>
      <c r="Q81" s="334"/>
      <c r="R81" s="465">
        <f t="shared" si="188"/>
        <v>0</v>
      </c>
      <c r="S81" s="384" t="str">
        <f t="shared" ref="S81" si="195">IF(AND((N81=0),(R81&gt;0)),"O",IF(AND((L81&lt;0),(N81-R81&lt;0)),"O","X"))</f>
        <v>X</v>
      </c>
      <c r="T81" s="354"/>
      <c r="U81" s="353"/>
      <c r="V81" s="257"/>
      <c r="W81" s="196"/>
      <c r="X81" s="261"/>
      <c r="Y81" s="196"/>
      <c r="Z81" s="297">
        <f t="shared" si="168"/>
        <v>0</v>
      </c>
      <c r="AA81" s="297">
        <f t="shared" si="169"/>
        <v>0</v>
      </c>
      <c r="AB81" s="303" t="str">
        <f t="shared" si="164"/>
        <v>OK</v>
      </c>
      <c r="AC81" s="341"/>
      <c r="AD81" s="302"/>
      <c r="AE81" s="297">
        <f t="shared" si="170"/>
        <v>0</v>
      </c>
      <c r="AF81" s="297">
        <f t="shared" ref="AF81" si="196">IF($Y81="도비",SUM(P81:Q81),IF($W81="국도비","직접입력",SUM(P81:Q81)-AE81))</f>
        <v>0</v>
      </c>
      <c r="AG81" s="188" t="str">
        <f t="shared" ref="AG81" si="197">IF(SUM(P81:Q81)=SUM(AE81:AF81),"OK","검토")</f>
        <v>OK</v>
      </c>
      <c r="AI81" s="197" t="str">
        <f t="shared" ref="AI81:AI90" si="198">IF(W81="","",IF(W81="도비","세입없음","직접입력"))</f>
        <v/>
      </c>
      <c r="AK81" s="231" t="str">
        <f t="shared" ref="AK81:AK90" si="199">IF(AI81="","",COUNTIF($AI$7:$AI$112,AI81))</f>
        <v/>
      </c>
      <c r="AL81" s="187" t="str">
        <f t="shared" si="180"/>
        <v/>
      </c>
      <c r="AN81" s="188" t="str">
        <f t="array" ref="AN81">IF(D81="","",INDEX(구분표!$I$2:$I$319, MATCH(1,(구분표!$E$2:$E$319='1추일출'!C81)*(구분표!$F$2:$F$319='1추일출'!D81)*(구분표!$G$2:$G$319='1추일출'!B81),0)))</f>
        <v/>
      </c>
      <c r="AP81" s="188"/>
      <c r="AR81" s="173">
        <f t="shared" ref="AR81:AR90" si="200">IF(O81&lt;0,O81,0)</f>
        <v>0</v>
      </c>
      <c r="AS81" s="173">
        <f t="shared" ref="AS81:AS90" si="201">IF(O81&gt;0,O81,0)</f>
        <v>0</v>
      </c>
    </row>
    <row r="82" spans="1:45" ht="60" customHeight="1">
      <c r="A82" s="301">
        <f>COUNTA($C$8:C82)-COUNTBLANK($C$8:C82)+7</f>
        <v>5</v>
      </c>
      <c r="B82" s="256" t="str">
        <f>IF(C82="","",MID($B$80,2,7))</f>
        <v/>
      </c>
      <c r="C82" s="256" t="str">
        <f>IF(D82="","",VLOOKUP(D82,구분표!$A$3:$C$223,3,))</f>
        <v/>
      </c>
      <c r="D82" s="256"/>
      <c r="E82" s="301"/>
      <c r="F82" s="301"/>
      <c r="G82" s="301"/>
      <c r="H82" s="304"/>
      <c r="I82" s="292"/>
      <c r="J82" s="292"/>
      <c r="K82" s="348">
        <f t="shared" si="173"/>
        <v>0</v>
      </c>
      <c r="L82" s="292"/>
      <c r="M82" s="292"/>
      <c r="N82" s="464">
        <f t="shared" si="187"/>
        <v>0</v>
      </c>
      <c r="O82" s="382">
        <f t="shared" si="194"/>
        <v>0</v>
      </c>
      <c r="P82" s="383"/>
      <c r="Q82" s="334"/>
      <c r="R82" s="465">
        <f t="shared" si="188"/>
        <v>0</v>
      </c>
      <c r="S82" s="384" t="str">
        <f t="shared" ref="S82:S90" si="202">IF(AND((N82=0),(R82&gt;0)),"O",IF(AND((L82&lt;0),(N82-R82&lt;0)),"O","X"))</f>
        <v>X</v>
      </c>
      <c r="T82" s="354"/>
      <c r="U82" s="353"/>
      <c r="V82" s="257"/>
      <c r="W82" s="258"/>
      <c r="X82" s="261"/>
      <c r="Y82" s="196"/>
      <c r="Z82" s="297">
        <f t="shared" si="168"/>
        <v>0</v>
      </c>
      <c r="AA82" s="297">
        <f t="shared" si="169"/>
        <v>0</v>
      </c>
      <c r="AB82" s="303" t="str">
        <f t="shared" si="164"/>
        <v>OK</v>
      </c>
      <c r="AC82" s="341"/>
      <c r="AD82" s="302"/>
      <c r="AE82" s="297">
        <f t="shared" si="170"/>
        <v>0</v>
      </c>
      <c r="AF82" s="297">
        <f t="shared" ref="AF82:AF90" si="203">IF($Y82="도비",SUM(P82:Q82),IF($W82="국도비","직접입력",SUM(P82:Q82)-AE82))</f>
        <v>0</v>
      </c>
      <c r="AG82" s="188" t="str">
        <f t="shared" ref="AG82:AG90" si="204">IF(SUM(P82:Q82)=SUM(AE82:AF82),"OK","검토")</f>
        <v>OK</v>
      </c>
      <c r="AI82" s="197" t="str">
        <f t="shared" si="198"/>
        <v/>
      </c>
      <c r="AK82" s="231" t="str">
        <f t="shared" si="199"/>
        <v/>
      </c>
      <c r="AL82" s="187" t="str">
        <f t="shared" si="180"/>
        <v/>
      </c>
      <c r="AN82" s="188" t="str">
        <f t="array" ref="AN82">IF(D82="","",INDEX(구분표!$I$2:$I$319, MATCH(1,(구분표!$E$2:$E$319='1추일출'!C82)*(구분표!$F$2:$F$319='1추일출'!D82)*(구분표!$G$2:$G$319='1추일출'!B82),0)))</f>
        <v/>
      </c>
      <c r="AP82" s="188"/>
      <c r="AR82" s="173">
        <f t="shared" si="200"/>
        <v>0</v>
      </c>
      <c r="AS82" s="173">
        <f t="shared" si="201"/>
        <v>0</v>
      </c>
    </row>
    <row r="83" spans="1:45" ht="60" customHeight="1">
      <c r="A83" s="301">
        <f>COUNTA($C$8:C83)-COUNTBLANK($C$8:C83)+7</f>
        <v>5</v>
      </c>
      <c r="B83" s="256" t="str">
        <f t="shared" ref="B83:B90" si="205">IF(C83="","",MID($B$80,2,7))</f>
        <v/>
      </c>
      <c r="C83" s="256" t="str">
        <f>IF(D83="","",VLOOKUP(D83,구분표!$A$3:$C$223,3,))</f>
        <v/>
      </c>
      <c r="D83" s="256"/>
      <c r="E83" s="301"/>
      <c r="F83" s="301"/>
      <c r="G83" s="301"/>
      <c r="H83" s="304"/>
      <c r="I83" s="292"/>
      <c r="J83" s="292"/>
      <c r="K83" s="348">
        <f t="shared" si="173"/>
        <v>0</v>
      </c>
      <c r="L83" s="292"/>
      <c r="M83" s="292"/>
      <c r="N83" s="464">
        <f t="shared" si="187"/>
        <v>0</v>
      </c>
      <c r="O83" s="382">
        <f t="shared" si="194"/>
        <v>0</v>
      </c>
      <c r="P83" s="383"/>
      <c r="Q83" s="334"/>
      <c r="R83" s="465">
        <f t="shared" si="188"/>
        <v>0</v>
      </c>
      <c r="S83" s="384" t="str">
        <f t="shared" si="202"/>
        <v>X</v>
      </c>
      <c r="T83" s="354"/>
      <c r="U83" s="353"/>
      <c r="V83" s="257"/>
      <c r="W83" s="188"/>
      <c r="Y83" s="196"/>
      <c r="Z83" s="297">
        <f t="shared" si="168"/>
        <v>0</v>
      </c>
      <c r="AA83" s="297">
        <f t="shared" si="169"/>
        <v>0</v>
      </c>
      <c r="AB83" s="303" t="str">
        <f t="shared" si="164"/>
        <v>OK</v>
      </c>
      <c r="AC83" s="341"/>
      <c r="AD83" s="302"/>
      <c r="AE83" s="297">
        <f t="shared" si="170"/>
        <v>0</v>
      </c>
      <c r="AF83" s="297">
        <f t="shared" si="203"/>
        <v>0</v>
      </c>
      <c r="AG83" s="188" t="str">
        <f t="shared" si="204"/>
        <v>OK</v>
      </c>
      <c r="AI83" s="197" t="str">
        <f t="shared" si="198"/>
        <v/>
      </c>
      <c r="AK83" s="231" t="str">
        <f t="shared" si="199"/>
        <v/>
      </c>
      <c r="AL83" s="187" t="str">
        <f t="shared" si="180"/>
        <v/>
      </c>
      <c r="AN83" s="188" t="str">
        <f t="array" ref="AN83">IF(D83="","",INDEX(구분표!$I$2:$I$319, MATCH(1,(구분표!$E$2:$E$319='1추일출'!C83)*(구분표!$F$2:$F$319='1추일출'!D83)*(구분표!$G$2:$G$319='1추일출'!B83),0)))</f>
        <v/>
      </c>
      <c r="AP83" s="188"/>
      <c r="AR83" s="173">
        <f t="shared" si="200"/>
        <v>0</v>
      </c>
      <c r="AS83" s="173">
        <f t="shared" si="201"/>
        <v>0</v>
      </c>
    </row>
    <row r="84" spans="1:45" ht="60" customHeight="1">
      <c r="A84" s="301">
        <f>COUNTA($C$8:C84)-COUNTBLANK($C$8:C84)+7</f>
        <v>5</v>
      </c>
      <c r="B84" s="256" t="str">
        <f t="shared" si="205"/>
        <v/>
      </c>
      <c r="C84" s="256" t="str">
        <f>IF(D84="","",VLOOKUP(D84,구분표!$A$3:$C$223,3,))</f>
        <v/>
      </c>
      <c r="D84" s="256"/>
      <c r="E84" s="301"/>
      <c r="F84" s="301"/>
      <c r="G84" s="301"/>
      <c r="H84" s="304"/>
      <c r="I84" s="292"/>
      <c r="J84" s="292"/>
      <c r="K84" s="348">
        <f t="shared" si="173"/>
        <v>0</v>
      </c>
      <c r="L84" s="292"/>
      <c r="M84" s="292"/>
      <c r="N84" s="464">
        <f t="shared" si="187"/>
        <v>0</v>
      </c>
      <c r="O84" s="382">
        <f t="shared" si="194"/>
        <v>0</v>
      </c>
      <c r="P84" s="383"/>
      <c r="Q84" s="334"/>
      <c r="R84" s="465">
        <f t="shared" si="188"/>
        <v>0</v>
      </c>
      <c r="S84" s="384" t="str">
        <f t="shared" si="202"/>
        <v>X</v>
      </c>
      <c r="T84" s="354"/>
      <c r="U84" s="353"/>
      <c r="V84" s="257"/>
      <c r="W84" s="303"/>
      <c r="X84" s="341"/>
      <c r="Y84" s="302"/>
      <c r="Z84" s="297">
        <f t="shared" si="168"/>
        <v>0</v>
      </c>
      <c r="AA84" s="297">
        <f t="shared" si="169"/>
        <v>0</v>
      </c>
      <c r="AB84" s="303" t="str">
        <f t="shared" si="164"/>
        <v>OK</v>
      </c>
      <c r="AC84" s="341"/>
      <c r="AD84" s="302"/>
      <c r="AE84" s="297">
        <f t="shared" si="170"/>
        <v>0</v>
      </c>
      <c r="AF84" s="297">
        <f t="shared" si="203"/>
        <v>0</v>
      </c>
      <c r="AG84" s="188" t="str">
        <f t="shared" si="204"/>
        <v>OK</v>
      </c>
      <c r="AH84" s="341"/>
      <c r="AI84" s="197" t="str">
        <f t="shared" si="198"/>
        <v/>
      </c>
      <c r="AJ84" s="341"/>
      <c r="AK84" s="307" t="str">
        <f t="shared" si="199"/>
        <v/>
      </c>
      <c r="AL84" s="293" t="str">
        <f t="shared" si="180"/>
        <v/>
      </c>
      <c r="AM84" s="341"/>
      <c r="AN84" s="303" t="str">
        <f t="array" ref="AN84">IF(D84="","",INDEX(구분표!$I$2:$I$319, MATCH(1,(구분표!$E$2:$E$319='1추일출'!C84)*(구분표!$F$2:$F$319='1추일출'!D84)*(구분표!$G$2:$G$319='1추일출'!B84),0)))</f>
        <v/>
      </c>
      <c r="AO84" s="341"/>
      <c r="AP84" s="303"/>
      <c r="AQ84" s="341"/>
      <c r="AR84" s="173">
        <f t="shared" si="200"/>
        <v>0</v>
      </c>
      <c r="AS84" s="173">
        <f t="shared" si="201"/>
        <v>0</v>
      </c>
    </row>
    <row r="85" spans="1:45" ht="60" customHeight="1">
      <c r="A85" s="301">
        <f>COUNTA($C$8:C85)-COUNTBLANK($C$8:C85)+7</f>
        <v>5</v>
      </c>
      <c r="B85" s="256" t="str">
        <f t="shared" si="205"/>
        <v/>
      </c>
      <c r="C85" s="256" t="str">
        <f>IF(D85="","",VLOOKUP(D85,구분표!$A$3:$C$223,3,))</f>
        <v/>
      </c>
      <c r="D85" s="256"/>
      <c r="E85" s="301"/>
      <c r="F85" s="301"/>
      <c r="G85" s="301"/>
      <c r="H85" s="304"/>
      <c r="I85" s="292"/>
      <c r="J85" s="292"/>
      <c r="K85" s="348">
        <f t="shared" si="173"/>
        <v>0</v>
      </c>
      <c r="L85" s="292"/>
      <c r="M85" s="292"/>
      <c r="N85" s="464">
        <f t="shared" si="187"/>
        <v>0</v>
      </c>
      <c r="O85" s="382">
        <f t="shared" si="194"/>
        <v>0</v>
      </c>
      <c r="P85" s="383"/>
      <c r="Q85" s="334"/>
      <c r="R85" s="465">
        <f t="shared" si="188"/>
        <v>0</v>
      </c>
      <c r="S85" s="384" t="str">
        <f t="shared" si="202"/>
        <v>X</v>
      </c>
      <c r="T85" s="354"/>
      <c r="U85" s="353"/>
      <c r="V85" s="257"/>
      <c r="W85" s="303"/>
      <c r="X85" s="341"/>
      <c r="Y85" s="302"/>
      <c r="Z85" s="297">
        <f t="shared" si="168"/>
        <v>0</v>
      </c>
      <c r="AA85" s="297">
        <f t="shared" si="169"/>
        <v>0</v>
      </c>
      <c r="AB85" s="303" t="str">
        <f t="shared" si="164"/>
        <v>OK</v>
      </c>
      <c r="AC85" s="341"/>
      <c r="AD85" s="302"/>
      <c r="AE85" s="297">
        <f t="shared" si="170"/>
        <v>0</v>
      </c>
      <c r="AF85" s="297">
        <f t="shared" si="203"/>
        <v>0</v>
      </c>
      <c r="AG85" s="188" t="str">
        <f t="shared" si="204"/>
        <v>OK</v>
      </c>
      <c r="AH85" s="341"/>
      <c r="AI85" s="197" t="str">
        <f t="shared" si="198"/>
        <v/>
      </c>
      <c r="AJ85" s="341"/>
      <c r="AK85" s="307" t="str">
        <f t="shared" si="199"/>
        <v/>
      </c>
      <c r="AL85" s="293" t="str">
        <f t="shared" si="180"/>
        <v/>
      </c>
      <c r="AM85" s="341"/>
      <c r="AN85" s="303" t="str">
        <f t="array" ref="AN85">IF(D85="","",INDEX(구분표!$I$2:$I$319, MATCH(1,(구분표!$E$2:$E$319='1추일출'!C85)*(구분표!$F$2:$F$319='1추일출'!D85)*(구분표!$G$2:$G$319='1추일출'!B85),0)))</f>
        <v/>
      </c>
      <c r="AO85" s="341"/>
      <c r="AP85" s="303"/>
      <c r="AQ85" s="341"/>
      <c r="AR85" s="173">
        <f t="shared" si="200"/>
        <v>0</v>
      </c>
      <c r="AS85" s="173">
        <f t="shared" si="201"/>
        <v>0</v>
      </c>
    </row>
    <row r="86" spans="1:45" ht="60" customHeight="1">
      <c r="A86" s="301">
        <f>COUNTA($C$8:C86)-COUNTBLANK($C$8:C86)+7</f>
        <v>5</v>
      </c>
      <c r="B86" s="256" t="str">
        <f t="shared" si="205"/>
        <v/>
      </c>
      <c r="C86" s="256" t="str">
        <f>IF(D86="","",VLOOKUP(D86,구분표!$A$3:$C$223,3,))</f>
        <v/>
      </c>
      <c r="D86" s="352"/>
      <c r="E86" s="301"/>
      <c r="F86" s="301"/>
      <c r="G86" s="301"/>
      <c r="H86" s="357"/>
      <c r="I86" s="393"/>
      <c r="J86" s="292"/>
      <c r="K86" s="348">
        <f t="shared" si="173"/>
        <v>0</v>
      </c>
      <c r="L86" s="292"/>
      <c r="M86" s="292"/>
      <c r="N86" s="464">
        <f t="shared" si="187"/>
        <v>0</v>
      </c>
      <c r="O86" s="382">
        <f t="shared" si="194"/>
        <v>0</v>
      </c>
      <c r="P86" s="383"/>
      <c r="Q86" s="334"/>
      <c r="R86" s="465">
        <f t="shared" si="188"/>
        <v>0</v>
      </c>
      <c r="S86" s="384" t="str">
        <f t="shared" si="202"/>
        <v>X</v>
      </c>
      <c r="T86" s="329"/>
      <c r="U86" s="329"/>
      <c r="V86" s="257"/>
      <c r="W86" s="196"/>
      <c r="X86" s="261"/>
      <c r="Y86" s="196"/>
      <c r="Z86" s="297">
        <f t="shared" si="168"/>
        <v>0</v>
      </c>
      <c r="AA86" s="297">
        <f t="shared" si="169"/>
        <v>0</v>
      </c>
      <c r="AB86" s="303" t="str">
        <f t="shared" si="164"/>
        <v>OK</v>
      </c>
      <c r="AC86" s="341"/>
      <c r="AD86" s="302"/>
      <c r="AE86" s="297">
        <f t="shared" si="170"/>
        <v>0</v>
      </c>
      <c r="AF86" s="297">
        <f t="shared" si="203"/>
        <v>0</v>
      </c>
      <c r="AG86" s="188" t="str">
        <f t="shared" si="204"/>
        <v>OK</v>
      </c>
      <c r="AI86" s="197" t="str">
        <f t="shared" si="198"/>
        <v/>
      </c>
      <c r="AK86" s="231" t="str">
        <f t="shared" si="199"/>
        <v/>
      </c>
      <c r="AL86" s="187" t="str">
        <f t="shared" ref="AL86:AL89" si="206">IF(Y86="","",IF(AND(Y86="도비",AI86="세입없음"),"OK",IF(AND(Y86&lt;&gt;"도비",AI86&lt;&gt;""),"OK","@@")))</f>
        <v/>
      </c>
      <c r="AN86" s="188" t="str">
        <f t="array" ref="AN86">IF(D86="","",INDEX(구분표!$I$2:$I$319, MATCH(1,(구분표!$E$2:$E$319='1추일출'!C86)*(구분표!$F$2:$F$319='1추일출'!D86)*(구분표!$G$2:$G$319='1추일출'!B86),0)))</f>
        <v/>
      </c>
      <c r="AP86" s="188"/>
      <c r="AR86" s="173">
        <f t="shared" si="200"/>
        <v>0</v>
      </c>
      <c r="AS86" s="173">
        <f t="shared" si="201"/>
        <v>0</v>
      </c>
    </row>
    <row r="87" spans="1:45" ht="60" customHeight="1">
      <c r="A87" s="301">
        <f>COUNTA($C$8:C87)-COUNTBLANK($C$8:C87)+7</f>
        <v>5</v>
      </c>
      <c r="B87" s="256" t="str">
        <f t="shared" si="205"/>
        <v/>
      </c>
      <c r="C87" s="256" t="str">
        <f>IF(D87="","",VLOOKUP(D87,구분표!$A$3:$C$223,3,))</f>
        <v/>
      </c>
      <c r="D87" s="352"/>
      <c r="E87" s="301"/>
      <c r="F87" s="301"/>
      <c r="G87" s="301"/>
      <c r="H87" s="357"/>
      <c r="I87" s="393"/>
      <c r="J87" s="292"/>
      <c r="K87" s="348">
        <f t="shared" si="173"/>
        <v>0</v>
      </c>
      <c r="L87" s="292"/>
      <c r="M87" s="292"/>
      <c r="N87" s="464">
        <f t="shared" si="187"/>
        <v>0</v>
      </c>
      <c r="O87" s="382">
        <f t="shared" si="194"/>
        <v>0</v>
      </c>
      <c r="P87" s="383"/>
      <c r="Q87" s="334"/>
      <c r="R87" s="465">
        <f t="shared" si="188"/>
        <v>0</v>
      </c>
      <c r="S87" s="384" t="str">
        <f t="shared" si="202"/>
        <v>X</v>
      </c>
      <c r="T87" s="329"/>
      <c r="U87" s="329"/>
      <c r="V87" s="257"/>
      <c r="W87" s="196"/>
      <c r="X87" s="261"/>
      <c r="Y87" s="196"/>
      <c r="Z87" s="297">
        <f t="shared" si="168"/>
        <v>0</v>
      </c>
      <c r="AA87" s="297">
        <f t="shared" si="169"/>
        <v>0</v>
      </c>
      <c r="AB87" s="303" t="str">
        <f t="shared" si="164"/>
        <v>OK</v>
      </c>
      <c r="AC87" s="341"/>
      <c r="AD87" s="302"/>
      <c r="AE87" s="297">
        <f t="shared" si="170"/>
        <v>0</v>
      </c>
      <c r="AF87" s="297">
        <f t="shared" si="203"/>
        <v>0</v>
      </c>
      <c r="AG87" s="188" t="str">
        <f t="shared" si="204"/>
        <v>OK</v>
      </c>
      <c r="AI87" s="197" t="str">
        <f t="shared" si="198"/>
        <v/>
      </c>
      <c r="AK87" s="231" t="str">
        <f t="shared" si="199"/>
        <v/>
      </c>
      <c r="AL87" s="187" t="str">
        <f t="shared" si="206"/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200"/>
        <v>0</v>
      </c>
      <c r="AS87" s="173">
        <f t="shared" si="201"/>
        <v>0</v>
      </c>
    </row>
    <row r="88" spans="1:45" ht="60" customHeight="1">
      <c r="A88" s="301">
        <f>COUNTA($C$8:C88)-COUNTBLANK($C$8:C88)+7</f>
        <v>5</v>
      </c>
      <c r="B88" s="256" t="str">
        <f t="shared" si="205"/>
        <v/>
      </c>
      <c r="C88" s="256" t="str">
        <f>IF(D88="","",VLOOKUP(D88,구분표!$A$3:$C$223,3,))</f>
        <v/>
      </c>
      <c r="D88" s="352"/>
      <c r="E88" s="301"/>
      <c r="F88" s="301"/>
      <c r="G88" s="301"/>
      <c r="H88" s="357"/>
      <c r="I88" s="393"/>
      <c r="J88" s="292"/>
      <c r="K88" s="348">
        <f t="shared" si="173"/>
        <v>0</v>
      </c>
      <c r="L88" s="292"/>
      <c r="M88" s="292"/>
      <c r="N88" s="464">
        <f t="shared" si="187"/>
        <v>0</v>
      </c>
      <c r="O88" s="382">
        <f t="shared" si="194"/>
        <v>0</v>
      </c>
      <c r="P88" s="383"/>
      <c r="Q88" s="334"/>
      <c r="R88" s="465">
        <f t="shared" si="188"/>
        <v>0</v>
      </c>
      <c r="S88" s="384" t="str">
        <f t="shared" si="202"/>
        <v>X</v>
      </c>
      <c r="T88" s="329"/>
      <c r="U88" s="329"/>
      <c r="V88" s="257"/>
      <c r="W88" s="258"/>
      <c r="X88" s="261"/>
      <c r="Y88" s="196"/>
      <c r="Z88" s="297">
        <f t="shared" si="168"/>
        <v>0</v>
      </c>
      <c r="AA88" s="297">
        <f t="shared" si="169"/>
        <v>0</v>
      </c>
      <c r="AB88" s="303" t="str">
        <f t="shared" si="164"/>
        <v>OK</v>
      </c>
      <c r="AC88" s="341"/>
      <c r="AD88" s="302"/>
      <c r="AE88" s="297">
        <f t="shared" si="170"/>
        <v>0</v>
      </c>
      <c r="AF88" s="297">
        <f t="shared" si="203"/>
        <v>0</v>
      </c>
      <c r="AG88" s="188" t="str">
        <f t="shared" si="204"/>
        <v>OK</v>
      </c>
      <c r="AI88" s="197" t="str">
        <f t="shared" si="198"/>
        <v/>
      </c>
      <c r="AK88" s="231" t="str">
        <f t="shared" si="199"/>
        <v/>
      </c>
      <c r="AL88" s="187" t="str">
        <f t="shared" si="206"/>
        <v/>
      </c>
      <c r="AN88" s="188" t="str">
        <f t="array" ref="AN88">IF(D88="","",INDEX(구분표!$I$2:$I$319, MATCH(1,(구분표!$E$2:$E$319='1추일출'!C88)*(구분표!$F$2:$F$319='1추일출'!D88)*(구분표!$G$2:$G$319='1추일출'!B88),0)))</f>
        <v/>
      </c>
      <c r="AP88" s="188"/>
      <c r="AR88" s="173">
        <f t="shared" si="200"/>
        <v>0</v>
      </c>
      <c r="AS88" s="173">
        <f t="shared" si="201"/>
        <v>0</v>
      </c>
    </row>
    <row r="89" spans="1:45" ht="60" customHeight="1">
      <c r="A89" s="301">
        <f>COUNTA($C$8:C89)-COUNTBLANK($C$8:C89)+7</f>
        <v>5</v>
      </c>
      <c r="B89" s="256" t="str">
        <f t="shared" si="205"/>
        <v/>
      </c>
      <c r="C89" s="256" t="str">
        <f>IF(D89="","",VLOOKUP(D89,구분표!$A$3:$C$223,3,))</f>
        <v/>
      </c>
      <c r="D89" s="352"/>
      <c r="E89" s="301"/>
      <c r="F89" s="301"/>
      <c r="G89" s="301"/>
      <c r="H89" s="357"/>
      <c r="I89" s="393"/>
      <c r="J89" s="292"/>
      <c r="K89" s="348">
        <f t="shared" si="173"/>
        <v>0</v>
      </c>
      <c r="L89" s="292"/>
      <c r="M89" s="292"/>
      <c r="N89" s="464">
        <f t="shared" si="187"/>
        <v>0</v>
      </c>
      <c r="O89" s="382">
        <f t="shared" si="194"/>
        <v>0</v>
      </c>
      <c r="P89" s="383"/>
      <c r="Q89" s="334"/>
      <c r="R89" s="465">
        <f t="shared" si="188"/>
        <v>0</v>
      </c>
      <c r="S89" s="384" t="str">
        <f t="shared" si="202"/>
        <v>X</v>
      </c>
      <c r="T89" s="329"/>
      <c r="U89" s="329"/>
      <c r="V89" s="257"/>
      <c r="W89" s="258"/>
      <c r="X89" s="261"/>
      <c r="Y89" s="196"/>
      <c r="Z89" s="297">
        <f t="shared" si="168"/>
        <v>0</v>
      </c>
      <c r="AA89" s="297">
        <f t="shared" si="169"/>
        <v>0</v>
      </c>
      <c r="AB89" s="303" t="str">
        <f t="shared" si="164"/>
        <v>OK</v>
      </c>
      <c r="AC89" s="341"/>
      <c r="AD89" s="302"/>
      <c r="AE89" s="297">
        <f t="shared" si="170"/>
        <v>0</v>
      </c>
      <c r="AF89" s="297">
        <f t="shared" si="203"/>
        <v>0</v>
      </c>
      <c r="AG89" s="188" t="str">
        <f t="shared" si="204"/>
        <v>OK</v>
      </c>
      <c r="AI89" s="197" t="str">
        <f t="shared" si="198"/>
        <v/>
      </c>
      <c r="AK89" s="231" t="str">
        <f t="shared" si="199"/>
        <v/>
      </c>
      <c r="AL89" s="187" t="str">
        <f t="shared" si="206"/>
        <v/>
      </c>
      <c r="AN89" s="188" t="str">
        <f t="array" ref="AN89">IF(D89="","",INDEX(구분표!$I$2:$I$319, MATCH(1,(구분표!$E$2:$E$319='1추일출'!C89)*(구분표!$F$2:$F$319='1추일출'!D89)*(구분표!$G$2:$G$319='1추일출'!B89),0)))</f>
        <v/>
      </c>
      <c r="AP89" s="188"/>
      <c r="AR89" s="173">
        <f t="shared" si="200"/>
        <v>0</v>
      </c>
      <c r="AS89" s="173">
        <f t="shared" si="201"/>
        <v>0</v>
      </c>
    </row>
    <row r="90" spans="1:45" ht="60" customHeight="1">
      <c r="A90" s="301">
        <f>COUNTA($C$8:C90)-COUNTBLANK($C$8:C90)+7</f>
        <v>5</v>
      </c>
      <c r="B90" s="256" t="str">
        <f t="shared" si="205"/>
        <v/>
      </c>
      <c r="C90" s="256" t="str">
        <f>IF(D90="","",VLOOKUP(D90,구분표!$A$3:$C$223,3,))</f>
        <v/>
      </c>
      <c r="D90" s="352"/>
      <c r="E90" s="301"/>
      <c r="F90" s="301"/>
      <c r="G90" s="301"/>
      <c r="H90" s="357"/>
      <c r="I90" s="358"/>
      <c r="J90" s="292"/>
      <c r="K90" s="348">
        <f t="shared" si="173"/>
        <v>0</v>
      </c>
      <c r="L90" s="292"/>
      <c r="M90" s="292"/>
      <c r="N90" s="464">
        <f t="shared" si="187"/>
        <v>0</v>
      </c>
      <c r="O90" s="382">
        <f t="shared" si="194"/>
        <v>0</v>
      </c>
      <c r="P90" s="383"/>
      <c r="Q90" s="334"/>
      <c r="R90" s="465">
        <f t="shared" si="188"/>
        <v>0</v>
      </c>
      <c r="S90" s="384" t="str">
        <f t="shared" si="202"/>
        <v>X</v>
      </c>
      <c r="T90" s="329"/>
      <c r="U90" s="329"/>
      <c r="V90" s="257"/>
      <c r="W90" s="258"/>
      <c r="X90" s="261"/>
      <c r="Y90" s="196"/>
      <c r="Z90" s="297">
        <f t="shared" si="168"/>
        <v>0</v>
      </c>
      <c r="AA90" s="297">
        <f t="shared" si="169"/>
        <v>0</v>
      </c>
      <c r="AB90" s="303" t="str">
        <f t="shared" si="164"/>
        <v>OK</v>
      </c>
      <c r="AC90" s="341"/>
      <c r="AD90" s="302"/>
      <c r="AE90" s="297">
        <f t="shared" si="170"/>
        <v>0</v>
      </c>
      <c r="AF90" s="297">
        <f t="shared" si="203"/>
        <v>0</v>
      </c>
      <c r="AG90" s="188" t="str">
        <f t="shared" si="204"/>
        <v>OK</v>
      </c>
      <c r="AI90" s="197" t="str">
        <f t="shared" si="198"/>
        <v/>
      </c>
      <c r="AK90" s="231" t="str">
        <f t="shared" si="199"/>
        <v/>
      </c>
      <c r="AL90" s="187" t="str">
        <f t="shared" ref="AL90" si="207">IF(Y90="","",IF(AND(Y90="도비",AI90="세입없음"),"OK",IF(AND(Y90&lt;&gt;"도비",AI90&lt;&gt;""),"OK","@@")))</f>
        <v/>
      </c>
      <c r="AN90" s="188" t="str">
        <f t="array" ref="AN90">IF(D90="","",INDEX(구분표!$I$2:$I$319, MATCH(1,(구분표!$E$2:$E$319='1추일출'!C90)*(구분표!$F$2:$F$319='1추일출'!D90)*(구분표!$G$2:$G$319='1추일출'!B90),0)))</f>
        <v/>
      </c>
      <c r="AP90" s="188"/>
      <c r="AR90" s="173">
        <f t="shared" si="200"/>
        <v>0</v>
      </c>
      <c r="AS90" s="173">
        <f t="shared" si="201"/>
        <v>0</v>
      </c>
    </row>
    <row r="91" spans="1:45" ht="60" customHeight="1">
      <c r="A91" s="372"/>
      <c r="B91" s="255" t="s">
        <v>440</v>
      </c>
      <c r="C91" s="255"/>
      <c r="D91" s="255"/>
      <c r="E91" s="255"/>
      <c r="F91" s="255"/>
      <c r="G91" s="255"/>
      <c r="H91" s="385"/>
      <c r="I91" s="374">
        <f t="shared" ref="I91:R91" si="208">SUBTOTAL(9,I92:I101)</f>
        <v>0</v>
      </c>
      <c r="J91" s="374">
        <f t="shared" si="208"/>
        <v>0</v>
      </c>
      <c r="K91" s="374">
        <f t="shared" si="208"/>
        <v>0</v>
      </c>
      <c r="L91" s="374">
        <f t="shared" si="208"/>
        <v>0</v>
      </c>
      <c r="M91" s="374">
        <f t="shared" si="208"/>
        <v>0</v>
      </c>
      <c r="N91" s="375">
        <f t="shared" si="208"/>
        <v>0</v>
      </c>
      <c r="O91" s="376">
        <f t="shared" si="208"/>
        <v>0</v>
      </c>
      <c r="P91" s="377">
        <f t="shared" si="208"/>
        <v>0</v>
      </c>
      <c r="Q91" s="333">
        <f t="shared" si="208"/>
        <v>0</v>
      </c>
      <c r="R91" s="376">
        <f t="shared" si="208"/>
        <v>0</v>
      </c>
      <c r="S91" s="378"/>
      <c r="T91" s="379"/>
      <c r="U91" s="380"/>
      <c r="V91" s="381"/>
      <c r="W91" s="188"/>
      <c r="Y91" s="196"/>
      <c r="Z91" s="297"/>
      <c r="AA91" s="297"/>
      <c r="AB91" s="303"/>
      <c r="AC91" s="341"/>
      <c r="AD91" s="302"/>
      <c r="AE91" s="297"/>
      <c r="AF91" s="297"/>
      <c r="AG91" s="188"/>
      <c r="AI91" s="197"/>
      <c r="AK91" s="194"/>
      <c r="AL91" s="187"/>
      <c r="AN91" s="188"/>
      <c r="AP91" s="188"/>
      <c r="AR91" s="252">
        <f>SUBTOTAL(9,AR92:AR101)</f>
        <v>0</v>
      </c>
      <c r="AS91" s="253">
        <f>SUBTOTAL(9,AS92:AS101)</f>
        <v>0</v>
      </c>
    </row>
    <row r="92" spans="1:45" ht="60" customHeight="1">
      <c r="A92" s="301">
        <f>COUNTA($C$8:C92)-COUNTBLANK($C$8:C92)+8</f>
        <v>5</v>
      </c>
      <c r="B92" s="256" t="str">
        <f t="shared" ref="B92:B99" si="209">IF(C92="","",MID($B$91,2,7))</f>
        <v/>
      </c>
      <c r="C92" s="256" t="str">
        <f>IF(D92="","",VLOOKUP(D92,구분표!$A$3:$C$223,3,))</f>
        <v/>
      </c>
      <c r="D92" s="256"/>
      <c r="E92" s="301"/>
      <c r="F92" s="301"/>
      <c r="G92" s="301"/>
      <c r="H92" s="304"/>
      <c r="I92" s="292"/>
      <c r="J92" s="292"/>
      <c r="K92" s="348">
        <f>I92-J92</f>
        <v>0</v>
      </c>
      <c r="L92" s="292"/>
      <c r="M92" s="292"/>
      <c r="N92" s="464">
        <f>I92+L92+M92</f>
        <v>0</v>
      </c>
      <c r="O92" s="382">
        <f t="shared" ref="O92:O101" si="210">R92-N92</f>
        <v>0</v>
      </c>
      <c r="P92" s="383"/>
      <c r="Q92" s="334"/>
      <c r="R92" s="465">
        <f>I92+P92+Q92</f>
        <v>0</v>
      </c>
      <c r="S92" s="384" t="str">
        <f t="shared" ref="S92:S99" si="211">IF(AND((N92=0),(R92&gt;0)),"O",IF(AND((L92&lt;0),(N92-R92&lt;0)),"O","X"))</f>
        <v>X</v>
      </c>
      <c r="T92" s="354"/>
      <c r="U92" s="354"/>
      <c r="V92" s="257"/>
      <c r="W92" s="258"/>
      <c r="X92" s="261"/>
      <c r="Y92" s="196"/>
      <c r="Z92" s="297">
        <f t="shared" si="168"/>
        <v>0</v>
      </c>
      <c r="AA92" s="297">
        <f t="shared" si="169"/>
        <v>0</v>
      </c>
      <c r="AB92" s="303" t="str">
        <f t="shared" si="164"/>
        <v>OK</v>
      </c>
      <c r="AC92" s="341"/>
      <c r="AD92" s="302"/>
      <c r="AE92" s="297">
        <f t="shared" si="170"/>
        <v>0</v>
      </c>
      <c r="AF92" s="297">
        <f t="shared" ref="AF92" si="212">IF($Y92="도비",SUM(P92:Q92),IF($W92="국도비","직접입력",SUM(P92:Q92)-AE92))</f>
        <v>0</v>
      </c>
      <c r="AG92" s="188" t="str">
        <f t="shared" ref="AG92" si="213">IF(SUM(P92:Q92)=SUM(AE92:AF92),"OK","검토")</f>
        <v>OK</v>
      </c>
      <c r="AI92" s="197" t="str">
        <f t="shared" ref="AI92:AI101" si="214">IF(W92="","",IF(W92="도비","세입없음","직접입력"))</f>
        <v/>
      </c>
      <c r="AJ92" s="341"/>
      <c r="AK92" s="307" t="str">
        <f t="shared" ref="AK92:AK101" si="215">IF(AI92="","",COUNTIF($AI$7:$AI$112,AI92))</f>
        <v/>
      </c>
      <c r="AL92" s="293" t="str">
        <f t="shared" si="180"/>
        <v/>
      </c>
      <c r="AM92" s="341"/>
      <c r="AN92" s="303" t="str">
        <f t="array" ref="AN92">IF(D92="","",INDEX(구분표!$I$2:$I$319, MATCH(1,(구분표!$E$2:$E$319='1추일출'!C92)*(구분표!$F$2:$F$319='1추일출'!D92)*(구분표!$G$2:$G$319='1추일출'!B92),0)))</f>
        <v/>
      </c>
      <c r="AO92" s="341"/>
      <c r="AP92" s="303"/>
      <c r="AQ92" s="341"/>
      <c r="AR92" s="173">
        <f t="shared" ref="AR92:AR101" si="216">IF(O92&lt;0,O92,0)</f>
        <v>0</v>
      </c>
      <c r="AS92" s="173">
        <f t="shared" ref="AS92:AS101" si="217">IF(O92&gt;0,O92,0)</f>
        <v>0</v>
      </c>
    </row>
    <row r="93" spans="1:45" ht="60" customHeight="1">
      <c r="A93" s="301">
        <f>COUNTA($C$8:C93)-COUNTBLANK($C$8:C93)+8</f>
        <v>5</v>
      </c>
      <c r="B93" s="256" t="str">
        <f>IF(C93="","",MID($B$91,2,7))</f>
        <v/>
      </c>
      <c r="C93" s="256" t="str">
        <f>IF(D93="","",VLOOKUP(D93,구분표!$A$3:$C$223,3,))</f>
        <v/>
      </c>
      <c r="D93" s="394"/>
      <c r="E93" s="301"/>
      <c r="F93" s="301"/>
      <c r="G93" s="301"/>
      <c r="H93" s="304"/>
      <c r="I93" s="292"/>
      <c r="J93" s="292"/>
      <c r="K93" s="348">
        <f>I93-J93</f>
        <v>0</v>
      </c>
      <c r="L93" s="292"/>
      <c r="M93" s="292"/>
      <c r="N93" s="464">
        <f>I93+L93+M93</f>
        <v>0</v>
      </c>
      <c r="O93" s="382">
        <f t="shared" si="210"/>
        <v>0</v>
      </c>
      <c r="P93" s="383"/>
      <c r="Q93" s="334"/>
      <c r="R93" s="465">
        <f>I93+P93+Q93</f>
        <v>0</v>
      </c>
      <c r="S93" s="384" t="str">
        <f>IF(AND((N93=0),(R93&gt;0)),"O",IF(AND((L93&lt;0),(N93-R93&lt;0)),"O","X"))</f>
        <v>X</v>
      </c>
      <c r="T93" s="354"/>
      <c r="U93" s="354"/>
      <c r="V93" s="257"/>
      <c r="W93" s="303"/>
      <c r="X93" s="341"/>
      <c r="Y93" s="302"/>
      <c r="Z93" s="297">
        <f t="shared" si="168"/>
        <v>0</v>
      </c>
      <c r="AA93" s="297">
        <f t="shared" si="169"/>
        <v>0</v>
      </c>
      <c r="AB93" s="303" t="str">
        <f t="shared" si="164"/>
        <v>OK</v>
      </c>
      <c r="AC93" s="341"/>
      <c r="AD93" s="302"/>
      <c r="AE93" s="297">
        <f t="shared" si="170"/>
        <v>0</v>
      </c>
      <c r="AF93" s="297">
        <f t="shared" ref="AF93:AF101" si="218">IF($Y93="도비",SUM(P93:Q93),IF($W93="국도비","직접입력",SUM(P93:Q93)-AE93))</f>
        <v>0</v>
      </c>
      <c r="AG93" s="188" t="str">
        <f t="shared" ref="AG93:AG101" si="219">IF(SUM(P93:Q93)=SUM(AE93:AF93),"OK","검토")</f>
        <v>OK</v>
      </c>
      <c r="AH93" s="341"/>
      <c r="AI93" s="197" t="str">
        <f t="shared" si="214"/>
        <v/>
      </c>
      <c r="AJ93" s="341"/>
      <c r="AK93" s="307" t="str">
        <f t="shared" si="215"/>
        <v/>
      </c>
      <c r="AL93" s="293" t="str">
        <f>IF(Y93="","",IF(AND(Y93="도비",AI93="세입없음"),"OK",IF(AND(Y93&lt;&gt;"도비",AI93&lt;&gt;""),"OK","@@")))</f>
        <v/>
      </c>
      <c r="AM93" s="341"/>
      <c r="AN93" s="303" t="str">
        <f t="array" ref="AN93">IF(D93="","",INDEX(구분표!$I$2:$I$319, MATCH(1,(구분표!$E$2:$E$319='1추일출'!C93)*(구분표!$F$2:$F$319='1추일출'!D93)*(구분표!$G$2:$G$319='1추일출'!B93),0)))</f>
        <v/>
      </c>
      <c r="AO93" s="341"/>
      <c r="AP93" s="303"/>
      <c r="AQ93" s="341"/>
      <c r="AR93" s="173">
        <f t="shared" si="216"/>
        <v>0</v>
      </c>
      <c r="AS93" s="173">
        <f t="shared" si="217"/>
        <v>0</v>
      </c>
    </row>
    <row r="94" spans="1:45" ht="60" customHeight="1">
      <c r="A94" s="301">
        <f>COUNTA($C$8:C94)-COUNTBLANK($C$8:C94)+8</f>
        <v>5</v>
      </c>
      <c r="B94" s="256" t="str">
        <f t="shared" si="209"/>
        <v/>
      </c>
      <c r="C94" s="256" t="str">
        <f>IF(D94="","",VLOOKUP(D94,구분표!$A$3:$C$223,3,))</f>
        <v/>
      </c>
      <c r="D94" s="256"/>
      <c r="E94" s="301"/>
      <c r="F94" s="301"/>
      <c r="G94" s="301"/>
      <c r="H94" s="304"/>
      <c r="I94" s="292"/>
      <c r="J94" s="292"/>
      <c r="K94" s="348">
        <f t="shared" si="173"/>
        <v>0</v>
      </c>
      <c r="L94" s="292"/>
      <c r="M94" s="292"/>
      <c r="N94" s="464">
        <f t="shared" si="187"/>
        <v>0</v>
      </c>
      <c r="O94" s="382">
        <f t="shared" si="210"/>
        <v>0</v>
      </c>
      <c r="P94" s="383"/>
      <c r="Q94" s="334"/>
      <c r="R94" s="465">
        <f>I94+P94+Q94</f>
        <v>0</v>
      </c>
      <c r="S94" s="384" t="str">
        <f t="shared" si="211"/>
        <v>X</v>
      </c>
      <c r="T94" s="354"/>
      <c r="U94" s="354"/>
      <c r="V94" s="257"/>
      <c r="W94" s="303"/>
      <c r="X94" s="341"/>
      <c r="Y94" s="302"/>
      <c r="Z94" s="297">
        <f t="shared" si="168"/>
        <v>0</v>
      </c>
      <c r="AA94" s="297">
        <f t="shared" si="169"/>
        <v>0</v>
      </c>
      <c r="AB94" s="303" t="str">
        <f t="shared" si="164"/>
        <v>OK</v>
      </c>
      <c r="AC94" s="341"/>
      <c r="AD94" s="302"/>
      <c r="AE94" s="297">
        <f t="shared" si="170"/>
        <v>0</v>
      </c>
      <c r="AF94" s="297">
        <f t="shared" si="218"/>
        <v>0</v>
      </c>
      <c r="AG94" s="188" t="str">
        <f t="shared" si="219"/>
        <v>OK</v>
      </c>
      <c r="AH94" s="341"/>
      <c r="AI94" s="197" t="str">
        <f t="shared" si="214"/>
        <v/>
      </c>
      <c r="AJ94" s="341"/>
      <c r="AK94" s="307" t="str">
        <f t="shared" si="215"/>
        <v/>
      </c>
      <c r="AL94" s="293" t="str">
        <f t="shared" si="180"/>
        <v/>
      </c>
      <c r="AM94" s="341"/>
      <c r="AN94" s="303" t="str">
        <f t="array" ref="AN94">IF(D94="","",INDEX(구분표!$I$2:$I$319, MATCH(1,(구분표!$E$2:$E$319='1추일출'!C94)*(구분표!$F$2:$F$319='1추일출'!D94)*(구분표!$G$2:$G$319='1추일출'!B94),0)))</f>
        <v/>
      </c>
      <c r="AO94" s="341"/>
      <c r="AP94" s="303"/>
      <c r="AQ94" s="341"/>
      <c r="AR94" s="173">
        <f t="shared" si="216"/>
        <v>0</v>
      </c>
      <c r="AS94" s="173">
        <f t="shared" si="217"/>
        <v>0</v>
      </c>
    </row>
    <row r="95" spans="1:45" ht="60" customHeight="1">
      <c r="A95" s="301">
        <f>COUNTA($C$8:C95)-COUNTBLANK($C$8:C95)+8</f>
        <v>5</v>
      </c>
      <c r="B95" s="256" t="str">
        <f t="shared" si="209"/>
        <v/>
      </c>
      <c r="C95" s="256" t="str">
        <f>IF(D95="","",VLOOKUP(D95,구분표!$A$3:$C$223,3,))</f>
        <v/>
      </c>
      <c r="D95" s="352"/>
      <c r="E95" s="301"/>
      <c r="F95" s="301"/>
      <c r="G95" s="301"/>
      <c r="H95" s="304"/>
      <c r="I95" s="292"/>
      <c r="J95" s="292"/>
      <c r="K95" s="348">
        <f t="shared" si="173"/>
        <v>0</v>
      </c>
      <c r="L95" s="292"/>
      <c r="M95" s="292"/>
      <c r="N95" s="464">
        <f t="shared" si="187"/>
        <v>0</v>
      </c>
      <c r="O95" s="382">
        <f t="shared" si="210"/>
        <v>0</v>
      </c>
      <c r="P95" s="383"/>
      <c r="Q95" s="334"/>
      <c r="R95" s="465">
        <f t="shared" si="188"/>
        <v>0</v>
      </c>
      <c r="S95" s="384" t="str">
        <f t="shared" si="211"/>
        <v>X</v>
      </c>
      <c r="T95" s="354"/>
      <c r="U95" s="354"/>
      <c r="V95" s="257"/>
      <c r="W95" s="196"/>
      <c r="X95" s="261"/>
      <c r="Y95" s="196"/>
      <c r="Z95" s="297">
        <f t="shared" si="168"/>
        <v>0</v>
      </c>
      <c r="AA95" s="297">
        <f t="shared" si="169"/>
        <v>0</v>
      </c>
      <c r="AB95" s="303" t="str">
        <f t="shared" si="164"/>
        <v>OK</v>
      </c>
      <c r="AC95" s="341"/>
      <c r="AD95" s="302"/>
      <c r="AE95" s="297">
        <f t="shared" si="170"/>
        <v>0</v>
      </c>
      <c r="AF95" s="297">
        <f t="shared" si="218"/>
        <v>0</v>
      </c>
      <c r="AG95" s="188" t="str">
        <f t="shared" si="219"/>
        <v>OK</v>
      </c>
      <c r="AI95" s="197" t="str">
        <f t="shared" si="214"/>
        <v/>
      </c>
      <c r="AK95" s="194" t="str">
        <f t="shared" si="215"/>
        <v/>
      </c>
      <c r="AL95" s="187" t="str">
        <f t="shared" si="180"/>
        <v/>
      </c>
      <c r="AN95" s="188" t="str">
        <f t="array" ref="AN95">IF(D95="","",INDEX(구분표!$I$2:$I$319, MATCH(1,(구분표!$E$2:$E$319='1추일출'!C95)*(구분표!$F$2:$F$319='1추일출'!D95)*(구분표!$G$2:$G$319='1추일출'!B95),0)))</f>
        <v/>
      </c>
      <c r="AP95" s="188"/>
      <c r="AR95" s="173">
        <f t="shared" si="216"/>
        <v>0</v>
      </c>
      <c r="AS95" s="173">
        <f t="shared" si="217"/>
        <v>0</v>
      </c>
    </row>
    <row r="96" spans="1:45" ht="60" customHeight="1">
      <c r="A96" s="301">
        <f>COUNTA($C$8:C96)-COUNTBLANK($C$8:C96)+8</f>
        <v>5</v>
      </c>
      <c r="B96" s="256" t="str">
        <f>IF(C96="","",MID($B$91,2,7))</f>
        <v/>
      </c>
      <c r="C96" s="256" t="str">
        <f>IF(D96="","",VLOOKUP(D96,구분표!$A$3:$C$223,3,))</f>
        <v/>
      </c>
      <c r="D96" s="256"/>
      <c r="E96" s="301"/>
      <c r="F96" s="301"/>
      <c r="G96" s="301"/>
      <c r="H96" s="304"/>
      <c r="I96" s="292"/>
      <c r="J96" s="292"/>
      <c r="K96" s="348">
        <f>I96-J96</f>
        <v>0</v>
      </c>
      <c r="L96" s="292"/>
      <c r="M96" s="292"/>
      <c r="N96" s="464">
        <f>I96+L96+M96</f>
        <v>0</v>
      </c>
      <c r="O96" s="382">
        <f t="shared" si="210"/>
        <v>0</v>
      </c>
      <c r="P96" s="383"/>
      <c r="Q96" s="334"/>
      <c r="R96" s="465">
        <f>I96+P96+Q96</f>
        <v>0</v>
      </c>
      <c r="S96" s="384" t="str">
        <f>IF(AND((N96=0),(R96&gt;0)),"O",IF(AND((L96&lt;0),(N96-R96&lt;0)),"O","X"))</f>
        <v>X</v>
      </c>
      <c r="T96" s="354"/>
      <c r="U96" s="354"/>
      <c r="V96" s="257"/>
      <c r="W96" s="188"/>
      <c r="Y96" s="196"/>
      <c r="Z96" s="297">
        <f t="shared" si="168"/>
        <v>0</v>
      </c>
      <c r="AA96" s="297">
        <f t="shared" si="169"/>
        <v>0</v>
      </c>
      <c r="AB96" s="303" t="str">
        <f t="shared" si="164"/>
        <v>OK</v>
      </c>
      <c r="AC96" s="341"/>
      <c r="AD96" s="302"/>
      <c r="AE96" s="297">
        <f t="shared" si="170"/>
        <v>0</v>
      </c>
      <c r="AF96" s="297">
        <f t="shared" si="218"/>
        <v>0</v>
      </c>
      <c r="AG96" s="188" t="str">
        <f t="shared" si="219"/>
        <v>OK</v>
      </c>
      <c r="AI96" s="197" t="str">
        <f t="shared" si="214"/>
        <v/>
      </c>
      <c r="AK96" s="194" t="str">
        <f t="shared" si="215"/>
        <v/>
      </c>
      <c r="AL96" s="187" t="str">
        <f>IF(Y96="","",IF(AND(Y96="도비",AI96="세입없음"),"OK",IF(AND(Y96&lt;&gt;"도비",AI96&lt;&gt;""),"OK","@@")))</f>
        <v/>
      </c>
      <c r="AN96" s="188" t="str">
        <f t="array" ref="AN96">IF(D96="","",INDEX(구분표!$I$2:$I$319, MATCH(1,(구분표!$E$2:$E$319='1추일출'!C96)*(구분표!$F$2:$F$319='1추일출'!D96)*(구분표!$G$2:$G$319='1추일출'!B96),0)))</f>
        <v/>
      </c>
      <c r="AP96" s="188"/>
      <c r="AR96" s="173">
        <f t="shared" si="216"/>
        <v>0</v>
      </c>
      <c r="AS96" s="173">
        <f t="shared" si="217"/>
        <v>0</v>
      </c>
    </row>
    <row r="97" spans="1:45" ht="60" customHeight="1">
      <c r="A97" s="301">
        <f>COUNTA($C$8:C97)-COUNTBLANK($C$8:C97)+8</f>
        <v>5</v>
      </c>
      <c r="B97" s="256" t="str">
        <f t="shared" si="209"/>
        <v/>
      </c>
      <c r="C97" s="256" t="str">
        <f>IF(D97="","",VLOOKUP(D97,구분표!$A$3:$C$223,3,))</f>
        <v/>
      </c>
      <c r="D97" s="256"/>
      <c r="E97" s="301"/>
      <c r="F97" s="301"/>
      <c r="G97" s="301"/>
      <c r="H97" s="304"/>
      <c r="I97" s="292"/>
      <c r="J97" s="292"/>
      <c r="K97" s="348">
        <f t="shared" si="173"/>
        <v>0</v>
      </c>
      <c r="L97" s="292"/>
      <c r="M97" s="292"/>
      <c r="N97" s="464">
        <f t="shared" si="187"/>
        <v>0</v>
      </c>
      <c r="O97" s="382">
        <f t="shared" si="210"/>
        <v>0</v>
      </c>
      <c r="P97" s="383"/>
      <c r="Q97" s="334"/>
      <c r="R97" s="465">
        <f t="shared" si="188"/>
        <v>0</v>
      </c>
      <c r="S97" s="384" t="str">
        <f t="shared" si="211"/>
        <v>X</v>
      </c>
      <c r="T97" s="354"/>
      <c r="U97" s="354"/>
      <c r="V97" s="257"/>
      <c r="W97" s="196"/>
      <c r="X97" s="261"/>
      <c r="Y97" s="196"/>
      <c r="Z97" s="297">
        <f t="shared" si="168"/>
        <v>0</v>
      </c>
      <c r="AA97" s="297">
        <f t="shared" si="169"/>
        <v>0</v>
      </c>
      <c r="AB97" s="303" t="str">
        <f t="shared" si="164"/>
        <v>OK</v>
      </c>
      <c r="AC97" s="341"/>
      <c r="AD97" s="302"/>
      <c r="AE97" s="297">
        <f t="shared" si="170"/>
        <v>0</v>
      </c>
      <c r="AF97" s="297">
        <f t="shared" si="218"/>
        <v>0</v>
      </c>
      <c r="AG97" s="188" t="str">
        <f t="shared" si="219"/>
        <v>OK</v>
      </c>
      <c r="AI97" s="197" t="str">
        <f t="shared" si="214"/>
        <v/>
      </c>
      <c r="AK97" s="194" t="str">
        <f t="shared" si="215"/>
        <v/>
      </c>
      <c r="AL97" s="187" t="str">
        <f t="shared" si="180"/>
        <v/>
      </c>
      <c r="AN97" s="188" t="str">
        <f t="array" ref="AN97">IF(D97="","",INDEX(구분표!$I$2:$I$319, MATCH(1,(구분표!$E$2:$E$319='1추일출'!C97)*(구분표!$F$2:$F$319='1추일출'!D97)*(구분표!$G$2:$G$319='1추일출'!B97),0)))</f>
        <v/>
      </c>
      <c r="AP97" s="188"/>
      <c r="AR97" s="173">
        <f t="shared" si="216"/>
        <v>0</v>
      </c>
      <c r="AS97" s="173">
        <f t="shared" si="217"/>
        <v>0</v>
      </c>
    </row>
    <row r="98" spans="1:45" ht="60" customHeight="1">
      <c r="A98" s="301">
        <f>COUNTA($C$8:C98)-COUNTBLANK($C$8:C98)+8</f>
        <v>5</v>
      </c>
      <c r="B98" s="256" t="str">
        <f t="shared" si="209"/>
        <v/>
      </c>
      <c r="C98" s="256" t="str">
        <f>IF(D98="","",VLOOKUP(D98,구분표!$A$3:$C$223,3,))</f>
        <v/>
      </c>
      <c r="D98" s="352"/>
      <c r="E98" s="301"/>
      <c r="F98" s="301"/>
      <c r="G98" s="301"/>
      <c r="H98" s="304"/>
      <c r="I98" s="292"/>
      <c r="J98" s="292"/>
      <c r="K98" s="348">
        <f t="shared" si="173"/>
        <v>0</v>
      </c>
      <c r="L98" s="292"/>
      <c r="M98" s="292"/>
      <c r="N98" s="464">
        <f t="shared" si="187"/>
        <v>0</v>
      </c>
      <c r="O98" s="382">
        <f t="shared" si="210"/>
        <v>0</v>
      </c>
      <c r="P98" s="383"/>
      <c r="Q98" s="334"/>
      <c r="R98" s="465">
        <f t="shared" si="188"/>
        <v>0</v>
      </c>
      <c r="S98" s="384" t="str">
        <f t="shared" si="211"/>
        <v>X</v>
      </c>
      <c r="T98" s="354"/>
      <c r="U98" s="354"/>
      <c r="V98" s="257"/>
      <c r="W98" s="258"/>
      <c r="X98" s="261"/>
      <c r="Y98" s="196"/>
      <c r="Z98" s="297">
        <f t="shared" si="168"/>
        <v>0</v>
      </c>
      <c r="AA98" s="297">
        <f t="shared" si="169"/>
        <v>0</v>
      </c>
      <c r="AB98" s="303" t="str">
        <f t="shared" si="164"/>
        <v>OK</v>
      </c>
      <c r="AC98" s="341"/>
      <c r="AD98" s="302"/>
      <c r="AE98" s="297">
        <f t="shared" si="170"/>
        <v>0</v>
      </c>
      <c r="AF98" s="297">
        <f t="shared" si="218"/>
        <v>0</v>
      </c>
      <c r="AG98" s="188" t="str">
        <f t="shared" si="219"/>
        <v>OK</v>
      </c>
      <c r="AI98" s="197" t="str">
        <f t="shared" si="214"/>
        <v/>
      </c>
      <c r="AK98" s="194" t="str">
        <f t="shared" si="215"/>
        <v/>
      </c>
      <c r="AL98" s="187" t="str">
        <f t="shared" si="180"/>
        <v/>
      </c>
      <c r="AN98" s="188" t="str">
        <f t="array" ref="AN98">IF(D98="","",INDEX(구분표!$I$2:$I$319, MATCH(1,(구분표!$E$2:$E$319='1추일출'!C98)*(구분표!$F$2:$F$319='1추일출'!D98)*(구분표!$G$2:$G$319='1추일출'!B98),0)))</f>
        <v/>
      </c>
      <c r="AP98" s="188"/>
      <c r="AR98" s="173">
        <f t="shared" si="216"/>
        <v>0</v>
      </c>
      <c r="AS98" s="173">
        <f t="shared" si="217"/>
        <v>0</v>
      </c>
    </row>
    <row r="99" spans="1:45" ht="60" customHeight="1">
      <c r="A99" s="301">
        <f>COUNTA($C$8:C99)-COUNTBLANK($C$8:C99)+8</f>
        <v>5</v>
      </c>
      <c r="B99" s="256" t="str">
        <f t="shared" si="209"/>
        <v/>
      </c>
      <c r="C99" s="256" t="str">
        <f>IF(D99="","",VLOOKUP(D99,구분표!$A$3:$C$223,3,))</f>
        <v/>
      </c>
      <c r="D99" s="256"/>
      <c r="E99" s="301"/>
      <c r="F99" s="301"/>
      <c r="G99" s="301"/>
      <c r="H99" s="304"/>
      <c r="I99" s="292"/>
      <c r="J99" s="292"/>
      <c r="K99" s="348">
        <f t="shared" si="173"/>
        <v>0</v>
      </c>
      <c r="L99" s="292"/>
      <c r="M99" s="292"/>
      <c r="N99" s="464">
        <f t="shared" si="187"/>
        <v>0</v>
      </c>
      <c r="O99" s="382">
        <f t="shared" si="210"/>
        <v>0</v>
      </c>
      <c r="P99" s="383"/>
      <c r="Q99" s="334"/>
      <c r="R99" s="465">
        <f t="shared" si="188"/>
        <v>0</v>
      </c>
      <c r="S99" s="384" t="str">
        <f t="shared" si="211"/>
        <v>X</v>
      </c>
      <c r="T99" s="354"/>
      <c r="U99" s="353"/>
      <c r="V99" s="257"/>
      <c r="W99" s="260"/>
      <c r="Y99" s="196"/>
      <c r="Z99" s="297">
        <f t="shared" si="168"/>
        <v>0</v>
      </c>
      <c r="AA99" s="297">
        <f t="shared" si="169"/>
        <v>0</v>
      </c>
      <c r="AB99" s="303" t="str">
        <f t="shared" si="164"/>
        <v>OK</v>
      </c>
      <c r="AC99" s="341"/>
      <c r="AD99" s="302"/>
      <c r="AE99" s="297">
        <f t="shared" si="170"/>
        <v>0</v>
      </c>
      <c r="AF99" s="297">
        <f t="shared" si="218"/>
        <v>0</v>
      </c>
      <c r="AG99" s="188" t="str">
        <f t="shared" si="219"/>
        <v>OK</v>
      </c>
      <c r="AI99" s="197" t="str">
        <f t="shared" si="214"/>
        <v/>
      </c>
      <c r="AK99" s="231" t="str">
        <f t="shared" si="215"/>
        <v/>
      </c>
      <c r="AL99" s="187" t="str">
        <f t="shared" si="180"/>
        <v/>
      </c>
      <c r="AN99" s="188" t="str">
        <f t="array" ref="AN99">IF(D99="","",INDEX(구분표!$I$2:$I$319, MATCH(1,(구분표!$E$2:$E$319='1추일출'!C99)*(구분표!$F$2:$F$319='1추일출'!D99)*(구분표!$G$2:$G$319='1추일출'!B99),0)))</f>
        <v/>
      </c>
      <c r="AP99" s="188"/>
      <c r="AR99" s="173">
        <f t="shared" si="216"/>
        <v>0</v>
      </c>
      <c r="AS99" s="173">
        <f t="shared" si="217"/>
        <v>0</v>
      </c>
    </row>
    <row r="100" spans="1:45" ht="60" customHeight="1">
      <c r="A100" s="301">
        <f>COUNTA($C$8:C100)-COUNTBLANK($C$8:C100)+8</f>
        <v>5</v>
      </c>
      <c r="B100" s="256" t="str">
        <f t="shared" ref="B100" si="220">IF(C100="","",MID($B$91,2,7))</f>
        <v/>
      </c>
      <c r="C100" s="256" t="str">
        <f>IF(D100="","",VLOOKUP(D100,구분표!$A$3:$C$223,3,))</f>
        <v/>
      </c>
      <c r="D100" s="256"/>
      <c r="E100" s="301"/>
      <c r="F100" s="301"/>
      <c r="G100" s="301"/>
      <c r="H100" s="304"/>
      <c r="I100" s="292"/>
      <c r="J100" s="292"/>
      <c r="K100" s="348">
        <f t="shared" ref="K100" si="221">I100-J100</f>
        <v>0</v>
      </c>
      <c r="L100" s="292"/>
      <c r="M100" s="292"/>
      <c r="N100" s="464">
        <f t="shared" ref="N100" si="222">I100+L100+M100</f>
        <v>0</v>
      </c>
      <c r="O100" s="382">
        <f t="shared" si="210"/>
        <v>0</v>
      </c>
      <c r="P100" s="383"/>
      <c r="Q100" s="334"/>
      <c r="R100" s="465">
        <f t="shared" ref="R100" si="223">I100+P100+Q100</f>
        <v>0</v>
      </c>
      <c r="S100" s="384" t="str">
        <f t="shared" ref="S100" si="224">IF(AND((N100=0),(R100&gt;0)),"O",IF(AND((L100&lt;0),(N100-R100&lt;0)),"O","X"))</f>
        <v>X</v>
      </c>
      <c r="T100" s="354"/>
      <c r="U100" s="353"/>
      <c r="V100" s="257"/>
      <c r="W100" s="260"/>
      <c r="Y100" s="196"/>
      <c r="Z100" s="297">
        <f t="shared" si="168"/>
        <v>0</v>
      </c>
      <c r="AA100" s="297">
        <f t="shared" si="169"/>
        <v>0</v>
      </c>
      <c r="AB100" s="303" t="str">
        <f t="shared" si="164"/>
        <v>OK</v>
      </c>
      <c r="AC100" s="341"/>
      <c r="AD100" s="302"/>
      <c r="AE100" s="297">
        <f t="shared" si="170"/>
        <v>0</v>
      </c>
      <c r="AF100" s="297">
        <f t="shared" si="218"/>
        <v>0</v>
      </c>
      <c r="AG100" s="188" t="str">
        <f t="shared" si="219"/>
        <v>OK</v>
      </c>
      <c r="AI100" s="197" t="str">
        <f t="shared" si="214"/>
        <v/>
      </c>
      <c r="AK100" s="231" t="str">
        <f t="shared" si="215"/>
        <v/>
      </c>
      <c r="AL100" s="187" t="str">
        <f t="shared" ref="AL100" si="225">IF(Y100="","",IF(AND(Y100="도비",AI100="세입없음"),"OK",IF(AND(Y100&lt;&gt;"도비",AI100&lt;&gt;""),"OK","@@")))</f>
        <v/>
      </c>
      <c r="AN100" s="188" t="str">
        <f t="array" ref="AN100">IF(D100="","",INDEX(구분표!$I$2:$I$319, MATCH(1,(구분표!$E$2:$E$319='1추일출'!C100)*(구분표!$F$2:$F$319='1추일출'!D100)*(구분표!$G$2:$G$319='1추일출'!B100),0)))</f>
        <v/>
      </c>
      <c r="AP100" s="188"/>
      <c r="AR100" s="173">
        <f t="shared" si="216"/>
        <v>0</v>
      </c>
      <c r="AS100" s="173">
        <f t="shared" si="217"/>
        <v>0</v>
      </c>
    </row>
    <row r="101" spans="1:45" ht="60" customHeight="1">
      <c r="A101" s="301">
        <f>COUNTA($C$8:C101)-COUNTBLANK($C$8:C101)+8</f>
        <v>5</v>
      </c>
      <c r="B101" s="256" t="str">
        <f t="shared" ref="B101" si="226">IF(C101="","",MID($B$91,2,7))</f>
        <v/>
      </c>
      <c r="C101" s="256" t="str">
        <f>IF(D101="","",VLOOKUP(D101,구분표!$A$3:$C$223,3,))</f>
        <v/>
      </c>
      <c r="D101" s="256"/>
      <c r="E101" s="301"/>
      <c r="F101" s="301"/>
      <c r="G101" s="301"/>
      <c r="H101" s="304"/>
      <c r="I101" s="292"/>
      <c r="J101" s="292"/>
      <c r="K101" s="348">
        <f t="shared" ref="K101" si="227">I101-J101</f>
        <v>0</v>
      </c>
      <c r="L101" s="292"/>
      <c r="M101" s="292"/>
      <c r="N101" s="464">
        <f t="shared" ref="N101" si="228">I101+L101+M101</f>
        <v>0</v>
      </c>
      <c r="O101" s="382">
        <f t="shared" si="210"/>
        <v>0</v>
      </c>
      <c r="P101" s="383"/>
      <c r="Q101" s="334"/>
      <c r="R101" s="465">
        <f t="shared" ref="R101" si="229">I101+P101+Q101</f>
        <v>0</v>
      </c>
      <c r="S101" s="384" t="str">
        <f t="shared" ref="S101" si="230">IF(AND((N101=0),(R101&gt;0)),"O",IF(AND((L101&lt;0),(N101-R101&lt;0)),"O","X"))</f>
        <v>X</v>
      </c>
      <c r="T101" s="354"/>
      <c r="U101" s="353"/>
      <c r="V101" s="257"/>
      <c r="W101" s="260"/>
      <c r="Y101" s="196"/>
      <c r="Z101" s="297">
        <f t="shared" si="168"/>
        <v>0</v>
      </c>
      <c r="AA101" s="297">
        <f t="shared" si="169"/>
        <v>0</v>
      </c>
      <c r="AB101" s="303" t="str">
        <f t="shared" si="164"/>
        <v>OK</v>
      </c>
      <c r="AC101" s="341"/>
      <c r="AD101" s="302"/>
      <c r="AE101" s="297">
        <f t="shared" si="170"/>
        <v>0</v>
      </c>
      <c r="AF101" s="297">
        <f t="shared" si="218"/>
        <v>0</v>
      </c>
      <c r="AG101" s="188" t="str">
        <f t="shared" si="219"/>
        <v>OK</v>
      </c>
      <c r="AI101" s="197" t="str">
        <f t="shared" si="214"/>
        <v/>
      </c>
      <c r="AK101" s="231" t="str">
        <f t="shared" si="215"/>
        <v/>
      </c>
      <c r="AL101" s="187" t="str">
        <f t="shared" ref="AL101" si="231">IF(Y101="","",IF(AND(Y101="도비",AI101="세입없음"),"OK",IF(AND(Y101&lt;&gt;"도비",AI101&lt;&gt;""),"OK","@@")))</f>
        <v/>
      </c>
      <c r="AN101" s="188" t="str">
        <f t="array" ref="AN101">IF(D101="","",INDEX(구분표!$I$2:$I$319, MATCH(1,(구분표!$E$2:$E$319='1추일출'!C101)*(구분표!$F$2:$F$319='1추일출'!D101)*(구분표!$G$2:$G$319='1추일출'!B101),0)))</f>
        <v/>
      </c>
      <c r="AP101" s="188"/>
      <c r="AR101" s="173">
        <f t="shared" si="216"/>
        <v>0</v>
      </c>
      <c r="AS101" s="173">
        <f t="shared" si="217"/>
        <v>0</v>
      </c>
    </row>
    <row r="102" spans="1:45" ht="60" customHeight="1">
      <c r="A102" s="372"/>
      <c r="B102" s="255" t="s">
        <v>441</v>
      </c>
      <c r="C102" s="255"/>
      <c r="D102" s="255"/>
      <c r="E102" s="255"/>
      <c r="F102" s="255"/>
      <c r="G102" s="255"/>
      <c r="H102" s="385"/>
      <c r="I102" s="374">
        <f t="shared" ref="I102:R102" si="232">SUBTOTAL(9,I103:I112)</f>
        <v>0</v>
      </c>
      <c r="J102" s="374">
        <f t="shared" si="232"/>
        <v>0</v>
      </c>
      <c r="K102" s="374">
        <f t="shared" si="232"/>
        <v>0</v>
      </c>
      <c r="L102" s="374">
        <f t="shared" si="232"/>
        <v>0</v>
      </c>
      <c r="M102" s="374">
        <f t="shared" si="232"/>
        <v>0</v>
      </c>
      <c r="N102" s="375">
        <f t="shared" si="232"/>
        <v>0</v>
      </c>
      <c r="O102" s="376">
        <f t="shared" si="232"/>
        <v>0</v>
      </c>
      <c r="P102" s="377">
        <f t="shared" si="232"/>
        <v>0</v>
      </c>
      <c r="Q102" s="333">
        <f t="shared" si="232"/>
        <v>0</v>
      </c>
      <c r="R102" s="376">
        <f t="shared" si="232"/>
        <v>0</v>
      </c>
      <c r="S102" s="378"/>
      <c r="T102" s="379"/>
      <c r="U102" s="380"/>
      <c r="V102" s="381"/>
      <c r="W102" s="188"/>
      <c r="Y102" s="196"/>
      <c r="Z102" s="297"/>
      <c r="AA102" s="297"/>
      <c r="AB102" s="303"/>
      <c r="AC102" s="341"/>
      <c r="AD102" s="302"/>
      <c r="AE102" s="297"/>
      <c r="AF102" s="297"/>
      <c r="AG102" s="188"/>
      <c r="AI102" s="197"/>
      <c r="AK102" s="194"/>
      <c r="AL102" s="187"/>
      <c r="AN102" s="188"/>
      <c r="AP102" s="188"/>
      <c r="AR102" s="252">
        <f>SUBTOTAL(9,AR103:AR112)</f>
        <v>0</v>
      </c>
      <c r="AS102" s="253">
        <f>SUBTOTAL(9,AS103:AS112)</f>
        <v>0</v>
      </c>
    </row>
    <row r="103" spans="1:45" ht="60" customHeight="1">
      <c r="A103" s="301">
        <f>COUNTA($C$8:C103)-COUNTBLANK($C$8:C103)+9</f>
        <v>5</v>
      </c>
      <c r="B103" s="256" t="str">
        <f t="shared" ref="B103:B112" si="233">IF(C103="","",MID($B$102,2,11))</f>
        <v/>
      </c>
      <c r="C103" s="256" t="str">
        <f>IF(D103="","",VLOOKUP(D103,구분표!$A$3:$C$223,3,))</f>
        <v/>
      </c>
      <c r="D103" s="256"/>
      <c r="E103" s="301"/>
      <c r="F103" s="301"/>
      <c r="G103" s="301"/>
      <c r="H103" s="304"/>
      <c r="I103" s="292"/>
      <c r="J103" s="292"/>
      <c r="K103" s="348">
        <f t="shared" si="173"/>
        <v>0</v>
      </c>
      <c r="L103" s="292"/>
      <c r="M103" s="292"/>
      <c r="N103" s="464">
        <f t="shared" si="187"/>
        <v>0</v>
      </c>
      <c r="O103" s="382">
        <f t="shared" ref="O103:O112" si="234">R103-N103</f>
        <v>0</v>
      </c>
      <c r="P103" s="383"/>
      <c r="Q103" s="334"/>
      <c r="R103" s="465">
        <f t="shared" si="188"/>
        <v>0</v>
      </c>
      <c r="S103" s="384" t="str">
        <f t="shared" ref="S103:S112" si="235">IF(AND((N103=0),(R103&gt;0)),"O",IF(AND((L103&lt;0),(N103-R103&lt;0)),"O","X"))</f>
        <v>X</v>
      </c>
      <c r="T103" s="354"/>
      <c r="U103" s="353"/>
      <c r="V103" s="257"/>
      <c r="W103" s="260"/>
      <c r="Y103" s="196"/>
      <c r="Z103" s="297">
        <f t="shared" si="168"/>
        <v>0</v>
      </c>
      <c r="AA103" s="297">
        <f t="shared" si="169"/>
        <v>0</v>
      </c>
      <c r="AB103" s="303" t="str">
        <f t="shared" si="164"/>
        <v>OK</v>
      </c>
      <c r="AC103" s="341"/>
      <c r="AD103" s="302"/>
      <c r="AE103" s="297">
        <f t="shared" si="170"/>
        <v>0</v>
      </c>
      <c r="AF103" s="297">
        <f t="shared" ref="AF103" si="236">IF($Y103="도비",SUM(P103:Q103),IF($W103="국도비","직접입력",SUM(P103:Q103)-AE103))</f>
        <v>0</v>
      </c>
      <c r="AG103" s="188" t="str">
        <f t="shared" ref="AG103" si="237">IF(SUM(P103:Q103)=SUM(AE103:AF103),"OK","검토")</f>
        <v>OK</v>
      </c>
      <c r="AI103" s="197" t="str">
        <f t="shared" ref="AI103:AI112" si="238">IF(W103="","",IF(W103="도비","세입없음","직접입력"))</f>
        <v/>
      </c>
      <c r="AK103" s="194" t="str">
        <f t="shared" ref="AK103:AK112" si="239">IF(AI103="","",COUNTIF($AI$7:$AI$112,AI103))</f>
        <v/>
      </c>
      <c r="AL103" s="187" t="str">
        <f t="shared" si="180"/>
        <v/>
      </c>
      <c r="AN103" s="188" t="str">
        <f t="array" ref="AN103">IF(D103="","",INDEX(구분표!$I$2:$I$319, MATCH(1,(구분표!$E$2:$E$319='1추일출'!C103)*(구분표!$F$2:$F$319='1추일출'!D103)*(구분표!$G$2:$G$319='1추일출'!B103),0)))</f>
        <v/>
      </c>
      <c r="AP103" s="188"/>
      <c r="AR103" s="173">
        <f t="shared" ref="AR103:AR112" si="240">IF(O103&lt;0,O103,0)</f>
        <v>0</v>
      </c>
      <c r="AS103" s="173">
        <f t="shared" ref="AS103:AS112" si="241">IF(O103&gt;0,O103,0)</f>
        <v>0</v>
      </c>
    </row>
    <row r="104" spans="1:45" ht="60" customHeight="1">
      <c r="A104" s="301">
        <f>COUNTA($C$8:C104)-COUNTBLANK($C$8:C104)+9</f>
        <v>5</v>
      </c>
      <c r="B104" s="256" t="str">
        <f t="shared" si="233"/>
        <v/>
      </c>
      <c r="C104" s="256" t="str">
        <f>IF(D104="","",VLOOKUP(D104,구분표!$A$3:$C$223,3,))</f>
        <v/>
      </c>
      <c r="D104" s="256"/>
      <c r="E104" s="301"/>
      <c r="F104" s="301"/>
      <c r="G104" s="301"/>
      <c r="H104" s="304"/>
      <c r="I104" s="292"/>
      <c r="J104" s="292"/>
      <c r="K104" s="348">
        <f t="shared" si="173"/>
        <v>0</v>
      </c>
      <c r="L104" s="292"/>
      <c r="M104" s="292"/>
      <c r="N104" s="464">
        <f t="shared" si="187"/>
        <v>0</v>
      </c>
      <c r="O104" s="382">
        <f t="shared" si="234"/>
        <v>0</v>
      </c>
      <c r="P104" s="383"/>
      <c r="Q104" s="334"/>
      <c r="R104" s="465">
        <f t="shared" si="188"/>
        <v>0</v>
      </c>
      <c r="S104" s="384" t="str">
        <f t="shared" si="235"/>
        <v>X</v>
      </c>
      <c r="T104" s="354"/>
      <c r="U104" s="353"/>
      <c r="V104" s="257"/>
      <c r="W104" s="248"/>
      <c r="Y104" s="196"/>
      <c r="Z104" s="297">
        <f t="shared" si="168"/>
        <v>0</v>
      </c>
      <c r="AA104" s="297">
        <f t="shared" si="169"/>
        <v>0</v>
      </c>
      <c r="AB104" s="303" t="str">
        <f t="shared" si="164"/>
        <v>OK</v>
      </c>
      <c r="AC104" s="341"/>
      <c r="AD104" s="302"/>
      <c r="AE104" s="297">
        <f t="shared" si="170"/>
        <v>0</v>
      </c>
      <c r="AF104" s="297">
        <f t="shared" ref="AF104:AF112" si="242">IF($Y104="도비",SUM(P104:Q104),IF($W104="국도비","직접입력",SUM(P104:Q104)-AE104))</f>
        <v>0</v>
      </c>
      <c r="AG104" s="188" t="str">
        <f t="shared" ref="AG104:AG112" si="243">IF(SUM(P104:Q104)=SUM(AE104:AF104),"OK","검토")</f>
        <v>OK</v>
      </c>
      <c r="AI104" s="197" t="str">
        <f t="shared" si="238"/>
        <v/>
      </c>
      <c r="AK104" s="194" t="str">
        <f t="shared" si="239"/>
        <v/>
      </c>
      <c r="AL104" s="187" t="str">
        <f t="shared" si="180"/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si="240"/>
        <v>0</v>
      </c>
      <c r="AS104" s="173">
        <f t="shared" si="241"/>
        <v>0</v>
      </c>
    </row>
    <row r="105" spans="1:45" ht="60" customHeight="1">
      <c r="A105" s="301">
        <f>COUNTA($C$8:C105)-COUNTBLANK($C$8:C105)+9</f>
        <v>5</v>
      </c>
      <c r="B105" s="256" t="str">
        <f t="shared" si="233"/>
        <v/>
      </c>
      <c r="C105" s="256" t="str">
        <f>IF(D105="","",VLOOKUP(D105,구분표!$A$3:$C$223,3,))</f>
        <v/>
      </c>
      <c r="D105" s="256"/>
      <c r="E105" s="301"/>
      <c r="F105" s="301"/>
      <c r="G105" s="301"/>
      <c r="H105" s="304"/>
      <c r="I105" s="292"/>
      <c r="J105" s="292"/>
      <c r="K105" s="348">
        <f t="shared" si="173"/>
        <v>0</v>
      </c>
      <c r="L105" s="292"/>
      <c r="M105" s="292"/>
      <c r="N105" s="464">
        <f t="shared" si="187"/>
        <v>0</v>
      </c>
      <c r="O105" s="382">
        <f t="shared" si="234"/>
        <v>0</v>
      </c>
      <c r="P105" s="383"/>
      <c r="Q105" s="334"/>
      <c r="R105" s="465">
        <f t="shared" si="188"/>
        <v>0</v>
      </c>
      <c r="S105" s="384" t="str">
        <f t="shared" si="235"/>
        <v>X</v>
      </c>
      <c r="T105" s="354"/>
      <c r="U105" s="353"/>
      <c r="V105" s="257"/>
      <c r="W105" s="248"/>
      <c r="Y105" s="196"/>
      <c r="Z105" s="297">
        <f t="shared" si="168"/>
        <v>0</v>
      </c>
      <c r="AA105" s="297">
        <f t="shared" si="169"/>
        <v>0</v>
      </c>
      <c r="AB105" s="303" t="str">
        <f t="shared" si="164"/>
        <v>OK</v>
      </c>
      <c r="AC105" s="341"/>
      <c r="AD105" s="302"/>
      <c r="AE105" s="297">
        <f t="shared" si="170"/>
        <v>0</v>
      </c>
      <c r="AF105" s="297">
        <f t="shared" si="242"/>
        <v>0</v>
      </c>
      <c r="AG105" s="188" t="str">
        <f t="shared" si="243"/>
        <v>OK</v>
      </c>
      <c r="AI105" s="197" t="str">
        <f t="shared" si="238"/>
        <v/>
      </c>
      <c r="AK105" s="194" t="str">
        <f t="shared" si="239"/>
        <v/>
      </c>
      <c r="AL105" s="187" t="str">
        <f t="shared" si="180"/>
        <v/>
      </c>
      <c r="AN105" s="188" t="str">
        <f t="array" ref="AN105">IF(D105="","",INDEX(구분표!$I$2:$I$319, MATCH(1,(구분표!$E$2:$E$319='1추일출'!C105)*(구분표!$F$2:$F$319='1추일출'!D105)*(구분표!$G$2:$G$319='1추일출'!B105),0)))</f>
        <v/>
      </c>
      <c r="AP105" s="188"/>
      <c r="AR105" s="173">
        <f t="shared" si="240"/>
        <v>0</v>
      </c>
      <c r="AS105" s="173">
        <f t="shared" si="241"/>
        <v>0</v>
      </c>
    </row>
    <row r="106" spans="1:45" ht="60" customHeight="1">
      <c r="A106" s="301">
        <f>COUNTA($C$8:C106)-COUNTBLANK($C$8:C106)+9</f>
        <v>5</v>
      </c>
      <c r="B106" s="256" t="str">
        <f t="shared" si="233"/>
        <v/>
      </c>
      <c r="C106" s="256" t="str">
        <f>IF(D106="","",VLOOKUP(D106,구분표!$A$3:$C$223,3,))</f>
        <v/>
      </c>
      <c r="D106" s="256"/>
      <c r="E106" s="301"/>
      <c r="F106" s="301"/>
      <c r="G106" s="301"/>
      <c r="H106" s="304"/>
      <c r="I106" s="292"/>
      <c r="J106" s="292"/>
      <c r="K106" s="348">
        <f t="shared" si="173"/>
        <v>0</v>
      </c>
      <c r="L106" s="292"/>
      <c r="M106" s="292"/>
      <c r="N106" s="464">
        <f t="shared" si="187"/>
        <v>0</v>
      </c>
      <c r="O106" s="382">
        <f t="shared" si="234"/>
        <v>0</v>
      </c>
      <c r="P106" s="383"/>
      <c r="Q106" s="334"/>
      <c r="R106" s="465">
        <f t="shared" si="188"/>
        <v>0</v>
      </c>
      <c r="S106" s="384" t="str">
        <f t="shared" si="235"/>
        <v>X</v>
      </c>
      <c r="T106" s="354"/>
      <c r="U106" s="353"/>
      <c r="V106" s="257"/>
      <c r="W106" s="248"/>
      <c r="Y106" s="196"/>
      <c r="Z106" s="297">
        <f t="shared" si="168"/>
        <v>0</v>
      </c>
      <c r="AA106" s="297">
        <f t="shared" si="169"/>
        <v>0</v>
      </c>
      <c r="AB106" s="303" t="str">
        <f t="shared" si="164"/>
        <v>OK</v>
      </c>
      <c r="AC106" s="341"/>
      <c r="AD106" s="302"/>
      <c r="AE106" s="297">
        <f t="shared" si="170"/>
        <v>0</v>
      </c>
      <c r="AF106" s="297">
        <f t="shared" si="242"/>
        <v>0</v>
      </c>
      <c r="AG106" s="188" t="str">
        <f t="shared" si="243"/>
        <v>OK</v>
      </c>
      <c r="AI106" s="197" t="str">
        <f t="shared" si="238"/>
        <v/>
      </c>
      <c r="AK106" s="194" t="str">
        <f t="shared" si="239"/>
        <v/>
      </c>
      <c r="AL106" s="187" t="str">
        <f t="shared" si="180"/>
        <v/>
      </c>
      <c r="AN106" s="188" t="str">
        <f t="array" ref="AN106">IF(D106="","",INDEX(구분표!$I$2:$I$319, MATCH(1,(구분표!$E$2:$E$319='1추일출'!C106)*(구분표!$F$2:$F$319='1추일출'!D106)*(구분표!$G$2:$G$319='1추일출'!B106),0)))</f>
        <v/>
      </c>
      <c r="AP106" s="188"/>
      <c r="AR106" s="173">
        <f t="shared" si="240"/>
        <v>0</v>
      </c>
      <c r="AS106" s="173">
        <f t="shared" si="241"/>
        <v>0</v>
      </c>
    </row>
    <row r="107" spans="1:45" ht="60" customHeight="1">
      <c r="A107" s="301">
        <f>COUNTA($C$8:C107)-COUNTBLANK($C$8:C107)+9</f>
        <v>5</v>
      </c>
      <c r="B107" s="256" t="str">
        <f t="shared" si="233"/>
        <v/>
      </c>
      <c r="C107" s="256" t="str">
        <f>IF(D107="","",VLOOKUP(D107,구분표!$A$3:$C$223,3,))</f>
        <v/>
      </c>
      <c r="D107" s="256"/>
      <c r="E107" s="301"/>
      <c r="F107" s="301"/>
      <c r="G107" s="301"/>
      <c r="H107" s="304"/>
      <c r="I107" s="292"/>
      <c r="J107" s="292"/>
      <c r="K107" s="348">
        <f t="shared" si="173"/>
        <v>0</v>
      </c>
      <c r="L107" s="292"/>
      <c r="M107" s="292"/>
      <c r="N107" s="464">
        <f t="shared" si="187"/>
        <v>0</v>
      </c>
      <c r="O107" s="382">
        <f t="shared" si="234"/>
        <v>0</v>
      </c>
      <c r="P107" s="383"/>
      <c r="Q107" s="334"/>
      <c r="R107" s="465">
        <f t="shared" si="188"/>
        <v>0</v>
      </c>
      <c r="S107" s="384" t="str">
        <f t="shared" si="235"/>
        <v>X</v>
      </c>
      <c r="T107" s="354"/>
      <c r="U107" s="353"/>
      <c r="V107" s="257"/>
      <c r="W107" s="248"/>
      <c r="Y107" s="196"/>
      <c r="Z107" s="297">
        <f t="shared" si="168"/>
        <v>0</v>
      </c>
      <c r="AA107" s="297">
        <f t="shared" si="169"/>
        <v>0</v>
      </c>
      <c r="AB107" s="303" t="str">
        <f t="shared" si="164"/>
        <v>OK</v>
      </c>
      <c r="AC107" s="341"/>
      <c r="AD107" s="302"/>
      <c r="AE107" s="297">
        <f t="shared" si="170"/>
        <v>0</v>
      </c>
      <c r="AF107" s="297">
        <f t="shared" si="242"/>
        <v>0</v>
      </c>
      <c r="AG107" s="188" t="str">
        <f t="shared" si="243"/>
        <v>OK</v>
      </c>
      <c r="AI107" s="197" t="str">
        <f t="shared" si="238"/>
        <v/>
      </c>
      <c r="AK107" s="194" t="str">
        <f t="shared" si="239"/>
        <v/>
      </c>
      <c r="AL107" s="187" t="str">
        <f t="shared" si="180"/>
        <v/>
      </c>
      <c r="AN107" s="188" t="str">
        <f t="array" ref="AN107">IF(D107="","",INDEX(구분표!$I$2:$I$319, MATCH(1,(구분표!$E$2:$E$319='1추일출'!C107)*(구분표!$F$2:$F$319='1추일출'!D107)*(구분표!$G$2:$G$319='1추일출'!B107),0)))</f>
        <v/>
      </c>
      <c r="AP107" s="188"/>
      <c r="AR107" s="173">
        <f t="shared" si="240"/>
        <v>0</v>
      </c>
      <c r="AS107" s="173">
        <f t="shared" si="241"/>
        <v>0</v>
      </c>
    </row>
    <row r="108" spans="1:45" ht="60" customHeight="1">
      <c r="A108" s="301">
        <f>COUNTA($C$8:C108)-COUNTBLANK($C$8:C108)+9</f>
        <v>5</v>
      </c>
      <c r="B108" s="256" t="str">
        <f t="shared" si="233"/>
        <v/>
      </c>
      <c r="C108" s="256" t="str">
        <f>IF(D108="","",VLOOKUP(D108,구분표!$A$3:$C$223,3,))</f>
        <v/>
      </c>
      <c r="D108" s="256"/>
      <c r="E108" s="301"/>
      <c r="F108" s="301"/>
      <c r="G108" s="301"/>
      <c r="H108" s="304"/>
      <c r="I108" s="292"/>
      <c r="J108" s="292"/>
      <c r="K108" s="348">
        <f t="shared" si="173"/>
        <v>0</v>
      </c>
      <c r="L108" s="292"/>
      <c r="M108" s="292"/>
      <c r="N108" s="464">
        <f t="shared" si="187"/>
        <v>0</v>
      </c>
      <c r="O108" s="382">
        <f t="shared" si="234"/>
        <v>0</v>
      </c>
      <c r="P108" s="383"/>
      <c r="Q108" s="334"/>
      <c r="R108" s="465">
        <f t="shared" si="188"/>
        <v>0</v>
      </c>
      <c r="S108" s="384" t="str">
        <f t="shared" si="235"/>
        <v>X</v>
      </c>
      <c r="T108" s="354"/>
      <c r="U108" s="353"/>
      <c r="V108" s="257"/>
      <c r="W108" s="303"/>
      <c r="X108" s="341"/>
      <c r="Y108" s="302"/>
      <c r="Z108" s="297">
        <f t="shared" si="168"/>
        <v>0</v>
      </c>
      <c r="AA108" s="297">
        <f t="shared" si="169"/>
        <v>0</v>
      </c>
      <c r="AB108" s="303" t="str">
        <f t="shared" si="164"/>
        <v>OK</v>
      </c>
      <c r="AC108" s="341"/>
      <c r="AD108" s="302"/>
      <c r="AE108" s="297">
        <f t="shared" si="170"/>
        <v>0</v>
      </c>
      <c r="AF108" s="297">
        <f t="shared" si="242"/>
        <v>0</v>
      </c>
      <c r="AG108" s="188" t="str">
        <f t="shared" si="243"/>
        <v>OK</v>
      </c>
      <c r="AH108" s="341"/>
      <c r="AI108" s="197" t="str">
        <f t="shared" si="238"/>
        <v/>
      </c>
      <c r="AJ108" s="341"/>
      <c r="AK108" s="307" t="str">
        <f t="shared" si="239"/>
        <v/>
      </c>
      <c r="AL108" s="293" t="str">
        <f t="shared" si="180"/>
        <v/>
      </c>
      <c r="AM108" s="341"/>
      <c r="AN108" s="303" t="str">
        <f t="array" ref="AN108">IF(D108="","",INDEX(구분표!$I$2:$I$319, MATCH(1,(구분표!$E$2:$E$319='1추일출'!C108)*(구분표!$F$2:$F$319='1추일출'!D108)*(구분표!$G$2:$G$319='1추일출'!B108),0)))</f>
        <v/>
      </c>
      <c r="AO108" s="341"/>
      <c r="AP108" s="303"/>
      <c r="AQ108" s="341"/>
      <c r="AR108" s="173">
        <f t="shared" si="240"/>
        <v>0</v>
      </c>
      <c r="AS108" s="173">
        <f t="shared" si="241"/>
        <v>0</v>
      </c>
    </row>
    <row r="109" spans="1:45" ht="60" customHeight="1">
      <c r="A109" s="301">
        <f>COUNTA($C$8:C109)-COUNTBLANK($C$8:C109)+9</f>
        <v>5</v>
      </c>
      <c r="B109" s="256" t="str">
        <f t="shared" si="233"/>
        <v/>
      </c>
      <c r="C109" s="256" t="str">
        <f>IF(D109="","",VLOOKUP(D109,구분표!$A$3:$C$223,3,))</f>
        <v/>
      </c>
      <c r="D109" s="256"/>
      <c r="E109" s="301"/>
      <c r="F109" s="301"/>
      <c r="G109" s="301"/>
      <c r="H109" s="304"/>
      <c r="I109" s="292"/>
      <c r="J109" s="292"/>
      <c r="K109" s="348">
        <f t="shared" si="173"/>
        <v>0</v>
      </c>
      <c r="L109" s="292"/>
      <c r="M109" s="292"/>
      <c r="N109" s="464">
        <f t="shared" si="187"/>
        <v>0</v>
      </c>
      <c r="O109" s="382">
        <f t="shared" si="234"/>
        <v>0</v>
      </c>
      <c r="P109" s="383"/>
      <c r="Q109" s="334"/>
      <c r="R109" s="465">
        <f t="shared" si="188"/>
        <v>0</v>
      </c>
      <c r="S109" s="384" t="str">
        <f t="shared" si="235"/>
        <v>X</v>
      </c>
      <c r="T109" s="354"/>
      <c r="U109" s="353"/>
      <c r="V109" s="257"/>
      <c r="W109" s="303"/>
      <c r="X109" s="341"/>
      <c r="Y109" s="302"/>
      <c r="Z109" s="297">
        <f t="shared" si="168"/>
        <v>0</v>
      </c>
      <c r="AA109" s="297">
        <f t="shared" si="169"/>
        <v>0</v>
      </c>
      <c r="AB109" s="303" t="str">
        <f t="shared" si="164"/>
        <v>OK</v>
      </c>
      <c r="AC109" s="341"/>
      <c r="AD109" s="302"/>
      <c r="AE109" s="297">
        <f t="shared" si="170"/>
        <v>0</v>
      </c>
      <c r="AF109" s="297">
        <f t="shared" si="242"/>
        <v>0</v>
      </c>
      <c r="AG109" s="188" t="str">
        <f t="shared" si="243"/>
        <v>OK</v>
      </c>
      <c r="AH109" s="341"/>
      <c r="AI109" s="197" t="str">
        <f t="shared" si="238"/>
        <v/>
      </c>
      <c r="AJ109" s="341"/>
      <c r="AK109" s="307" t="str">
        <f t="shared" si="239"/>
        <v/>
      </c>
      <c r="AL109" s="293" t="str">
        <f t="shared" si="180"/>
        <v/>
      </c>
      <c r="AM109" s="341"/>
      <c r="AN109" s="303" t="str">
        <f t="array" ref="AN109">IF(D109="","",INDEX(구분표!$I$2:$I$319, MATCH(1,(구분표!$E$2:$E$319='1추일출'!C109)*(구분표!$F$2:$F$319='1추일출'!D109)*(구분표!$G$2:$G$319='1추일출'!B109),0)))</f>
        <v/>
      </c>
      <c r="AO109" s="341"/>
      <c r="AP109" s="303"/>
      <c r="AQ109" s="341"/>
      <c r="AR109" s="173">
        <f t="shared" si="240"/>
        <v>0</v>
      </c>
      <c r="AS109" s="173">
        <f t="shared" si="241"/>
        <v>0</v>
      </c>
    </row>
    <row r="110" spans="1:45" ht="60" customHeight="1">
      <c r="A110" s="301">
        <f>COUNTA($C$8:C110)-COUNTBLANK($C$8:C110)+9</f>
        <v>5</v>
      </c>
      <c r="B110" s="256" t="str">
        <f t="shared" si="233"/>
        <v/>
      </c>
      <c r="C110" s="256" t="str">
        <f>IF(D110="","",VLOOKUP(D110,구분표!$A$3:$C$223,3,))</f>
        <v/>
      </c>
      <c r="D110" s="256"/>
      <c r="E110" s="301"/>
      <c r="F110" s="301"/>
      <c r="G110" s="301"/>
      <c r="H110" s="304"/>
      <c r="I110" s="292"/>
      <c r="J110" s="292"/>
      <c r="K110" s="348">
        <f t="shared" ref="K110:K112" si="244">I110-J110</f>
        <v>0</v>
      </c>
      <c r="L110" s="292"/>
      <c r="M110" s="292"/>
      <c r="N110" s="464">
        <f t="shared" si="187"/>
        <v>0</v>
      </c>
      <c r="O110" s="382">
        <f t="shared" si="234"/>
        <v>0</v>
      </c>
      <c r="P110" s="383"/>
      <c r="Q110" s="334"/>
      <c r="R110" s="465">
        <f t="shared" si="188"/>
        <v>0</v>
      </c>
      <c r="S110" s="384" t="str">
        <f t="shared" si="235"/>
        <v>X</v>
      </c>
      <c r="T110" s="354"/>
      <c r="U110" s="353"/>
      <c r="V110" s="257"/>
      <c r="W110" s="248"/>
      <c r="Y110" s="196"/>
      <c r="Z110" s="297">
        <f t="shared" si="168"/>
        <v>0</v>
      </c>
      <c r="AA110" s="297">
        <f t="shared" si="169"/>
        <v>0</v>
      </c>
      <c r="AB110" s="303" t="str">
        <f t="shared" si="164"/>
        <v>OK</v>
      </c>
      <c r="AC110" s="341"/>
      <c r="AD110" s="302"/>
      <c r="AE110" s="297">
        <f t="shared" si="170"/>
        <v>0</v>
      </c>
      <c r="AF110" s="297">
        <f t="shared" si="242"/>
        <v>0</v>
      </c>
      <c r="AG110" s="188" t="str">
        <f t="shared" si="243"/>
        <v>OK</v>
      </c>
      <c r="AI110" s="197" t="str">
        <f t="shared" si="238"/>
        <v/>
      </c>
      <c r="AK110" s="231" t="str">
        <f t="shared" si="239"/>
        <v/>
      </c>
      <c r="AL110" s="187" t="str">
        <f t="shared" ref="AL110:AL112" si="245">IF(Y110="","",IF(AND(Y110="도비",AI110="세입없음"),"OK",IF(AND(Y110&lt;&gt;"도비",AI110&lt;&gt;""),"OK","@@")))</f>
        <v/>
      </c>
      <c r="AN110" s="188" t="str">
        <f t="array" ref="AN110">IF(D110="","",INDEX(구분표!$I$2:$I$319, MATCH(1,(구분표!$E$2:$E$319='1추일출'!C110)*(구분표!$F$2:$F$319='1추일출'!D110)*(구분표!$G$2:$G$319='1추일출'!B110),0)))</f>
        <v/>
      </c>
      <c r="AP110" s="188"/>
      <c r="AR110" s="173">
        <f t="shared" si="240"/>
        <v>0</v>
      </c>
      <c r="AS110" s="173">
        <f t="shared" si="241"/>
        <v>0</v>
      </c>
    </row>
    <row r="111" spans="1:45" ht="60" customHeight="1">
      <c r="A111" s="301">
        <f>COUNTA($C$8:C111)-COUNTBLANK($C$8:C111)+9</f>
        <v>5</v>
      </c>
      <c r="B111" s="256" t="str">
        <f t="shared" si="233"/>
        <v/>
      </c>
      <c r="C111" s="256" t="str">
        <f>IF(D111="","",VLOOKUP(D111,구분표!$A$3:$C$223,3,))</f>
        <v/>
      </c>
      <c r="D111" s="256"/>
      <c r="E111" s="301"/>
      <c r="F111" s="301"/>
      <c r="G111" s="301"/>
      <c r="H111" s="304"/>
      <c r="I111" s="292"/>
      <c r="J111" s="292"/>
      <c r="K111" s="348">
        <f t="shared" si="244"/>
        <v>0</v>
      </c>
      <c r="L111" s="292"/>
      <c r="M111" s="292"/>
      <c r="N111" s="464">
        <f t="shared" si="187"/>
        <v>0</v>
      </c>
      <c r="O111" s="382">
        <f t="shared" si="234"/>
        <v>0</v>
      </c>
      <c r="P111" s="383"/>
      <c r="Q111" s="334"/>
      <c r="R111" s="465">
        <f t="shared" si="188"/>
        <v>0</v>
      </c>
      <c r="S111" s="384" t="str">
        <f t="shared" si="235"/>
        <v>X</v>
      </c>
      <c r="T111" s="354"/>
      <c r="U111" s="353"/>
      <c r="V111" s="257"/>
      <c r="W111" s="248"/>
      <c r="Y111" s="196"/>
      <c r="Z111" s="297">
        <f t="shared" si="168"/>
        <v>0</v>
      </c>
      <c r="AA111" s="297">
        <f t="shared" si="169"/>
        <v>0</v>
      </c>
      <c r="AB111" s="303" t="str">
        <f t="shared" si="164"/>
        <v>OK</v>
      </c>
      <c r="AC111" s="341"/>
      <c r="AD111" s="302"/>
      <c r="AE111" s="297">
        <f t="shared" si="170"/>
        <v>0</v>
      </c>
      <c r="AF111" s="297">
        <f t="shared" si="242"/>
        <v>0</v>
      </c>
      <c r="AG111" s="188" t="str">
        <f t="shared" si="243"/>
        <v>OK</v>
      </c>
      <c r="AI111" s="197" t="str">
        <f t="shared" si="238"/>
        <v/>
      </c>
      <c r="AK111" s="231" t="str">
        <f t="shared" si="239"/>
        <v/>
      </c>
      <c r="AL111" s="187" t="str">
        <f t="shared" si="245"/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si="240"/>
        <v>0</v>
      </c>
      <c r="AS111" s="173">
        <f t="shared" si="241"/>
        <v>0</v>
      </c>
    </row>
    <row r="112" spans="1:45" ht="60" customHeight="1">
      <c r="A112" s="301">
        <f>COUNTA($C$8:C112)-COUNTBLANK($C$8:C112)+9</f>
        <v>5</v>
      </c>
      <c r="B112" s="256" t="str">
        <f t="shared" si="233"/>
        <v/>
      </c>
      <c r="C112" s="256" t="str">
        <f>IF(D112="","",VLOOKUP(D112,구분표!$A$3:$C$223,3,))</f>
        <v/>
      </c>
      <c r="D112" s="256"/>
      <c r="E112" s="301"/>
      <c r="F112" s="301"/>
      <c r="G112" s="301"/>
      <c r="H112" s="304"/>
      <c r="I112" s="292"/>
      <c r="J112" s="292"/>
      <c r="K112" s="348">
        <f t="shared" si="244"/>
        <v>0</v>
      </c>
      <c r="L112" s="292"/>
      <c r="M112" s="292"/>
      <c r="N112" s="464">
        <f t="shared" si="187"/>
        <v>0</v>
      </c>
      <c r="O112" s="382">
        <f t="shared" si="234"/>
        <v>0</v>
      </c>
      <c r="P112" s="383"/>
      <c r="Q112" s="334"/>
      <c r="R112" s="465">
        <f t="shared" si="188"/>
        <v>0</v>
      </c>
      <c r="S112" s="384" t="str">
        <f t="shared" si="235"/>
        <v>X</v>
      </c>
      <c r="T112" s="354"/>
      <c r="U112" s="353"/>
      <c r="V112" s="257"/>
      <c r="W112" s="248"/>
      <c r="Y112" s="196"/>
      <c r="Z112" s="297">
        <f t="shared" si="168"/>
        <v>0</v>
      </c>
      <c r="AA112" s="297">
        <f t="shared" si="169"/>
        <v>0</v>
      </c>
      <c r="AB112" s="303" t="str">
        <f t="shared" si="164"/>
        <v>OK</v>
      </c>
      <c r="AC112" s="363"/>
      <c r="AD112" s="302"/>
      <c r="AE112" s="297">
        <f t="shared" si="170"/>
        <v>0</v>
      </c>
      <c r="AF112" s="297">
        <f t="shared" si="242"/>
        <v>0</v>
      </c>
      <c r="AG112" s="188" t="str">
        <f t="shared" si="243"/>
        <v>OK</v>
      </c>
      <c r="AI112" s="197" t="str">
        <f t="shared" si="238"/>
        <v/>
      </c>
      <c r="AK112" s="231" t="str">
        <f t="shared" si="239"/>
        <v/>
      </c>
      <c r="AL112" s="187" t="str">
        <f t="shared" si="245"/>
        <v/>
      </c>
      <c r="AN112" s="188" t="str">
        <f t="array" ref="AN112">IF(D112="","",INDEX(구분표!$I$2:$I$319, MATCH(1,(구분표!$E$2:$E$319='1추일출'!C112)*(구분표!$F$2:$F$319='1추일출'!D112)*(구분표!$G$2:$G$319='1추일출'!B112),0)))</f>
        <v/>
      </c>
      <c r="AP112" s="188"/>
      <c r="AR112" s="173">
        <f t="shared" si="240"/>
        <v>0</v>
      </c>
      <c r="AS112" s="173">
        <f t="shared" si="241"/>
        <v>0</v>
      </c>
    </row>
    <row r="113" spans="2:40" ht="50.1" hidden="1" customHeight="1">
      <c r="B113" s="173">
        <v>1</v>
      </c>
      <c r="C113" s="173">
        <v>1</v>
      </c>
      <c r="I113" s="173">
        <v>1568733290</v>
      </c>
      <c r="J113" s="173">
        <v>1462432751</v>
      </c>
      <c r="K113" s="173">
        <v>106300539</v>
      </c>
      <c r="L113" s="173">
        <v>-21479930</v>
      </c>
      <c r="M113" s="173">
        <v>32544796</v>
      </c>
      <c r="N113" s="173">
        <v>1579798156</v>
      </c>
      <c r="O113" s="173">
        <v>-16715074</v>
      </c>
      <c r="P113" s="173">
        <v>-62314240</v>
      </c>
      <c r="Q113" s="262">
        <v>67360450</v>
      </c>
      <c r="R113" s="198">
        <v>1573779500</v>
      </c>
      <c r="AN113" s="173" t="str">
        <f t="array" ref="AN113">IF(D113="","",INDEX(구분표!$I$2:$I$319, MATCH(1,(구분표!$E$2:$E$319='1추일출'!C113)*(구분표!$F$2:$F$319='1추일출'!D113)*(구분표!$G$2:$G$319='1추일출'!B113),0)))</f>
        <v/>
      </c>
    </row>
    <row r="114" spans="2:40" ht="50.1" hidden="1" customHeight="1">
      <c r="B114" s="173">
        <v>1</v>
      </c>
      <c r="C114" s="173">
        <v>1</v>
      </c>
      <c r="I114" s="181">
        <f t="shared" ref="I114:R114" si="246">I6-I113</f>
        <v>-1529006290</v>
      </c>
      <c r="J114" s="181">
        <f t="shared" si="246"/>
        <v>-1423355751</v>
      </c>
      <c r="K114" s="181">
        <f t="shared" si="246"/>
        <v>-105650539</v>
      </c>
      <c r="L114" s="181">
        <f t="shared" si="246"/>
        <v>21379930</v>
      </c>
      <c r="M114" s="181">
        <f t="shared" si="246"/>
        <v>-32248013</v>
      </c>
      <c r="N114" s="181">
        <f t="shared" si="246"/>
        <v>-1539874373</v>
      </c>
      <c r="O114" s="181">
        <f t="shared" si="246"/>
        <v>16518291</v>
      </c>
      <c r="P114" s="181">
        <f t="shared" si="246"/>
        <v>62314240</v>
      </c>
      <c r="Q114" s="181">
        <f t="shared" si="246"/>
        <v>-67360450</v>
      </c>
      <c r="R114" s="181">
        <f t="shared" si="246"/>
        <v>-1534052500</v>
      </c>
      <c r="AN114" s="173" t="str">
        <f t="array" ref="AN114">IF(D114="","",INDEX(구분표!$I$2:$I$319, MATCH(1,(구분표!$E$2:$E$319='1추일출'!C114)*(구분표!$F$2:$F$319='1추일출'!D114)*(구분표!$G$2:$G$319='1추일출'!B114),0)))</f>
        <v/>
      </c>
    </row>
  </sheetData>
  <sheetProtection formatCells="0" autoFilter="0"/>
  <autoFilter ref="A6:AS114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</mergeCells>
  <phoneticPr fontId="1" type="noConversion"/>
  <dataValidations count="3">
    <dataValidation type="list" allowBlank="1" showInputMessage="1" showErrorMessage="1" sqref="E6:E112">
      <formula1>"본예산,1회추경,신규"</formula1>
    </dataValidation>
    <dataValidation type="list" allowBlank="1" showInputMessage="1" showErrorMessage="1" sqref="Y7:Y112 AD7:AD112">
      <formula1>"도비,국비,지특,기금,특교"</formula1>
    </dataValidation>
    <dataValidation type="list" allowBlank="1" showInputMessage="1" showErrorMessage="1" sqref="W7:W112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16" orientation="portrait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IF(COUNTIF(Z6:Z16,"검토")&gt;0,"@@","OK")</f>
        <v>OK</v>
      </c>
      <c r="AC3" s="26" t="str">
        <f>IF(AC6='1추특출'!AE6,"OK","@@")</f>
        <v>OK</v>
      </c>
      <c r="AE3" s="26" t="str">
        <f>IF(COUNTIF(AE6:AE16,"검토")&gt;0,"@@","OK")</f>
        <v>OK</v>
      </c>
    </row>
    <row r="4" spans="1:45" s="209" customFormat="1" ht="30" customHeight="1">
      <c r="A4" s="609" t="s">
        <v>406</v>
      </c>
      <c r="B4" s="607" t="s">
        <v>407</v>
      </c>
      <c r="C4" s="611" t="s">
        <v>408</v>
      </c>
      <c r="D4" s="613" t="s">
        <v>414</v>
      </c>
      <c r="E4" s="614" t="s">
        <v>409</v>
      </c>
      <c r="F4" s="613" t="s">
        <v>565</v>
      </c>
      <c r="G4" s="607" t="s">
        <v>568</v>
      </c>
      <c r="H4" s="569" t="s">
        <v>636</v>
      </c>
      <c r="I4" s="569" t="s">
        <v>596</v>
      </c>
      <c r="J4" s="553" t="s">
        <v>637</v>
      </c>
      <c r="K4" s="562" t="s">
        <v>597</v>
      </c>
      <c r="L4" s="563"/>
      <c r="M4" s="564" t="s">
        <v>602</v>
      </c>
      <c r="N4" s="566" t="s">
        <v>598</v>
      </c>
      <c r="O4" s="567"/>
      <c r="P4" s="549" t="s">
        <v>603</v>
      </c>
      <c r="Q4" s="602" t="s">
        <v>413</v>
      </c>
      <c r="R4" s="580" t="s">
        <v>599</v>
      </c>
      <c r="S4" s="580" t="s">
        <v>600</v>
      </c>
      <c r="T4" s="602" t="s">
        <v>604</v>
      </c>
      <c r="U4" s="604" t="s">
        <v>416</v>
      </c>
      <c r="V4" s="208"/>
      <c r="W4" s="605" t="s">
        <v>417</v>
      </c>
      <c r="X4" s="605" t="s">
        <v>418</v>
      </c>
      <c r="Y4" s="605"/>
      <c r="Z4" s="605"/>
      <c r="AB4" s="598" t="s">
        <v>417</v>
      </c>
      <c r="AC4" s="601" t="s">
        <v>422</v>
      </c>
      <c r="AD4" s="601"/>
      <c r="AE4" s="601"/>
      <c r="AG4" s="598" t="s">
        <v>423</v>
      </c>
      <c r="AI4" s="599" t="s">
        <v>424</v>
      </c>
      <c r="AK4" s="599" t="s">
        <v>425</v>
      </c>
      <c r="AM4" s="600" t="s">
        <v>426</v>
      </c>
      <c r="AN4" s="600"/>
      <c r="AO4" s="600"/>
      <c r="AQ4" s="601" t="s">
        <v>429</v>
      </c>
      <c r="AR4" s="601"/>
      <c r="AS4" s="601"/>
    </row>
    <row r="5" spans="1:45" s="209" customFormat="1" ht="18" customHeight="1">
      <c r="A5" s="610"/>
      <c r="B5" s="608"/>
      <c r="C5" s="612"/>
      <c r="D5" s="608"/>
      <c r="E5" s="615"/>
      <c r="F5" s="616"/>
      <c r="G5" s="608"/>
      <c r="H5" s="570"/>
      <c r="I5" s="571"/>
      <c r="J5" s="554"/>
      <c r="K5" s="479" t="s">
        <v>410</v>
      </c>
      <c r="L5" s="479" t="s">
        <v>411</v>
      </c>
      <c r="M5" s="565"/>
      <c r="N5" s="326" t="s">
        <v>410</v>
      </c>
      <c r="O5" s="323" t="s">
        <v>411</v>
      </c>
      <c r="P5" s="550"/>
      <c r="Q5" s="603"/>
      <c r="R5" s="606"/>
      <c r="S5" s="606"/>
      <c r="T5" s="603"/>
      <c r="U5" s="605"/>
      <c r="V5" s="208"/>
      <c r="W5" s="605"/>
      <c r="X5" s="246" t="s">
        <v>419</v>
      </c>
      <c r="Y5" s="246" t="s">
        <v>420</v>
      </c>
      <c r="Z5" s="246" t="s">
        <v>421</v>
      </c>
      <c r="AB5" s="598"/>
      <c r="AC5" s="210" t="s">
        <v>419</v>
      </c>
      <c r="AD5" s="210" t="s">
        <v>420</v>
      </c>
      <c r="AE5" s="210" t="s">
        <v>421</v>
      </c>
      <c r="AG5" s="598"/>
      <c r="AI5" s="598"/>
      <c r="AK5" s="598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95" t="s">
        <v>430</v>
      </c>
      <c r="B6" s="396"/>
      <c r="C6" s="396"/>
      <c r="D6" s="396"/>
      <c r="E6" s="397"/>
      <c r="F6" s="396"/>
      <c r="G6" s="396"/>
      <c r="H6" s="398">
        <f t="shared" ref="H6:P6" si="0">SUBTOTAL(9,H7:H16)</f>
        <v>0</v>
      </c>
      <c r="I6" s="398">
        <f t="shared" si="0"/>
        <v>0</v>
      </c>
      <c r="J6" s="398">
        <f t="shared" si="0"/>
        <v>0</v>
      </c>
      <c r="K6" s="399">
        <f t="shared" si="0"/>
        <v>0</v>
      </c>
      <c r="L6" s="399">
        <f t="shared" si="0"/>
        <v>0</v>
      </c>
      <c r="M6" s="400">
        <f t="shared" si="0"/>
        <v>0</v>
      </c>
      <c r="N6" s="401">
        <f t="shared" si="0"/>
        <v>0</v>
      </c>
      <c r="O6" s="399">
        <f t="shared" si="0"/>
        <v>0</v>
      </c>
      <c r="P6" s="402">
        <f t="shared" si="0"/>
        <v>0</v>
      </c>
      <c r="Q6" s="403"/>
      <c r="R6" s="404"/>
      <c r="S6" s="404"/>
      <c r="T6" s="405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6" t="s">
        <v>626</v>
      </c>
      <c r="B7" s="407"/>
      <c r="C7" s="408"/>
      <c r="D7" s="407"/>
      <c r="E7" s="408"/>
      <c r="F7" s="407"/>
      <c r="G7" s="407"/>
      <c r="H7" s="409">
        <f>SUBTOTAL(9,H8:H10)</f>
        <v>0</v>
      </c>
      <c r="I7" s="409">
        <f t="shared" ref="I7:P7" si="1">SUBTOTAL(9,I8:I10)</f>
        <v>0</v>
      </c>
      <c r="J7" s="410">
        <f t="shared" si="1"/>
        <v>0</v>
      </c>
      <c r="K7" s="409">
        <f t="shared" si="1"/>
        <v>0</v>
      </c>
      <c r="L7" s="409">
        <f t="shared" si="1"/>
        <v>0</v>
      </c>
      <c r="M7" s="411">
        <f t="shared" si="1"/>
        <v>0</v>
      </c>
      <c r="N7" s="412">
        <f t="shared" si="1"/>
        <v>0</v>
      </c>
      <c r="O7" s="409">
        <f t="shared" si="1"/>
        <v>0</v>
      </c>
      <c r="P7" s="413">
        <f t="shared" si="1"/>
        <v>0</v>
      </c>
      <c r="Q7" s="414"/>
      <c r="R7" s="414"/>
      <c r="S7" s="414"/>
      <c r="T7" s="415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21"/>
      <c r="B8" s="319"/>
      <c r="C8" s="320"/>
      <c r="D8" s="396"/>
      <c r="E8" s="416"/>
      <c r="F8" s="396"/>
      <c r="G8" s="417"/>
      <c r="H8" s="405"/>
      <c r="I8" s="405"/>
      <c r="J8" s="466" t="str">
        <f>IF(D8="","",H8-I8)</f>
        <v/>
      </c>
      <c r="K8" s="405"/>
      <c r="L8" s="404"/>
      <c r="M8" s="466">
        <f>SUM(H8,K8,L8)</f>
        <v>0</v>
      </c>
      <c r="N8" s="418"/>
      <c r="O8" s="404"/>
      <c r="P8" s="467">
        <f>SUM(H8,N8,O8)</f>
        <v>0</v>
      </c>
      <c r="Q8" s="346" t="str">
        <f>IF(AND((M8=0),(P8&gt;0)),"O",IF(AND((K8&lt;0),(M8-P8&lt;0)),"O","X"))</f>
        <v>X</v>
      </c>
      <c r="R8" s="346"/>
      <c r="S8" s="419"/>
      <c r="T8" s="420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/>
      </c>
      <c r="AJ8" s="151"/>
      <c r="AK8" s="153"/>
      <c r="AL8" s="151"/>
      <c r="AM8" s="20">
        <f>IF(AG8="",0,SUMIFS('1추특출'!$Z$6:$Z$397,'1추특출'!$AI$6:$AI$397,'1추특입'!$AG8))</f>
        <v>0</v>
      </c>
      <c r="AN8" s="20" t="str">
        <f>IF(AG8="","",COUNTIFS('1추특출'!$AI$6:$AI$397,'1추특입'!AG8))</f>
        <v/>
      </c>
      <c r="AO8" s="153" t="str">
        <f t="shared" ref="AO8" si="2">IF(X8=AM8,"OK","@@")</f>
        <v>OK</v>
      </c>
      <c r="AP8" s="151"/>
      <c r="AQ8" s="20">
        <f>IF(AG8="",0,SUMIFS('1추특출'!$AE$6:$AE$177,'1추특출'!$AI$6:$AI$177,'1추특입'!$AG8))</f>
        <v>0</v>
      </c>
      <c r="AR8" s="20" t="str">
        <f>IF(AG8="","",COUNTIFS('1추특출'!$AI$6:$AI$177,AG8))</f>
        <v/>
      </c>
      <c r="AS8" s="153" t="str">
        <f t="shared" ref="AS8" si="3">IF(AC8=AQ8,"OK","@@")</f>
        <v>OK</v>
      </c>
    </row>
    <row r="9" spans="1:45" ht="60" customHeight="1">
      <c r="A9" s="397"/>
      <c r="B9" s="396"/>
      <c r="C9" s="416"/>
      <c r="D9" s="396"/>
      <c r="E9" s="416"/>
      <c r="F9" s="396"/>
      <c r="G9" s="396"/>
      <c r="H9" s="405"/>
      <c r="I9" s="405"/>
      <c r="J9" s="466" t="str">
        <f>IF(D9="","",H9-I9)</f>
        <v/>
      </c>
      <c r="K9" s="405"/>
      <c r="L9" s="404"/>
      <c r="M9" s="466">
        <f t="shared" ref="M9:M10" si="4">SUM(H9,K9,L9)</f>
        <v>0</v>
      </c>
      <c r="N9" s="418"/>
      <c r="O9" s="404"/>
      <c r="P9" s="467">
        <f t="shared" ref="P9:P10" si="5">SUM(H9,N9,O9)</f>
        <v>0</v>
      </c>
      <c r="Q9" s="346" t="str">
        <f t="shared" ref="Q9:Q16" si="6">IF(AND((M9=0),(P9&gt;0)),"O",IF(AND((K9&lt;0),(M9-P9&lt;0)),"O","X"))</f>
        <v>X</v>
      </c>
      <c r="R9" s="346"/>
      <c r="S9" s="346"/>
      <c r="T9" s="420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MATCH(1,(구분표!$E$2:$E$319='1추특입'!B9)*(구분표!$F$2:$F$319='1추특입'!C9)*(구분표!$G$2:$G$319='1추특입'!A9),0)))</f>
        <v/>
      </c>
      <c r="AK9" s="17"/>
      <c r="AM9" s="20">
        <f>IF(AG9="",0,SUMIFS('1추특출'!$Z$6:$Z$397,'1추특출'!$AI$6:$AI$397,'1추특입'!$AG9))</f>
        <v>0</v>
      </c>
      <c r="AN9" s="20" t="str">
        <f>IF(AG9="","",COUNTIFS('1추특출'!$AI$6:$AI$397,'1추특입'!AG9))</f>
        <v/>
      </c>
      <c r="AO9" s="17" t="str">
        <f t="shared" ref="AO9:AO16" si="7">IF(X9=AM9,"OK","@@")</f>
        <v>OK</v>
      </c>
      <c r="AQ9" s="20">
        <f>IF(AG9="",0,SUMIFS('1추특출'!$AE$6:$AE$177,'1추특출'!$AI$6:$AI$177,'1추특입'!$AG9))</f>
        <v>0</v>
      </c>
      <c r="AR9" s="20" t="str">
        <f>IF(AG9="","",COUNTIFS('1추특출'!$AI$6:$AI$177,AG9))</f>
        <v/>
      </c>
      <c r="AS9" s="153" t="str">
        <f t="shared" ref="AS9:AS10" si="8">IF(AC9=AQ9,"OK","@@")</f>
        <v>OK</v>
      </c>
    </row>
    <row r="10" spans="1:45" ht="60" customHeight="1">
      <c r="A10" s="397" t="str">
        <f>IFERROR(VLOOKUP($C10,구분표!$A$2:$C$319,2,FALSE),"")</f>
        <v/>
      </c>
      <c r="B10" s="396" t="str">
        <f>IFERROR(VLOOKUP($C10,구분표!$A$2:$C$319,3,FALSE),"")</f>
        <v/>
      </c>
      <c r="C10" s="416"/>
      <c r="D10" s="396"/>
      <c r="E10" s="416"/>
      <c r="F10" s="396"/>
      <c r="G10" s="396"/>
      <c r="H10" s="405"/>
      <c r="I10" s="405"/>
      <c r="J10" s="466" t="str">
        <f>IF(D10="","",H10-I10)</f>
        <v/>
      </c>
      <c r="K10" s="405"/>
      <c r="L10" s="404"/>
      <c r="M10" s="466">
        <f t="shared" si="4"/>
        <v>0</v>
      </c>
      <c r="N10" s="418"/>
      <c r="O10" s="404"/>
      <c r="P10" s="467">
        <f t="shared" si="5"/>
        <v>0</v>
      </c>
      <c r="Q10" s="346" t="str">
        <f t="shared" si="6"/>
        <v>X</v>
      </c>
      <c r="R10" s="346"/>
      <c r="S10" s="346"/>
      <c r="T10" s="420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MATCH(1,(구분표!$E$2:$E$319='1추특입'!B10)*(구분표!$F$2:$F$319='1추특입'!C10)*(구분표!$G$2:$G$319='1추특입'!A10),0)))</f>
        <v/>
      </c>
      <c r="AK10" s="17"/>
      <c r="AM10" s="20">
        <f>IF(AG10="",0,SUMIFS('1추특출'!$Z$6:$Z$397,'1추특출'!$AI$6:$AI$397,'1추특입'!$AG10))</f>
        <v>0</v>
      </c>
      <c r="AN10" s="20" t="str">
        <f>IF(AG10="","",COUNTIFS('1추특출'!$AI$6:$AI$397,'1추특입'!AG10))</f>
        <v/>
      </c>
      <c r="AO10" s="17" t="str">
        <f t="shared" si="7"/>
        <v>OK</v>
      </c>
      <c r="AQ10" s="20">
        <f>IF(AG10="",0,SUMIFS('1추특출'!$AE$6:$AE$177,'1추특출'!$AI$6:$AI$177,'1추특입'!$AG10))</f>
        <v>0</v>
      </c>
      <c r="AR10" s="20" t="str">
        <f>IF(AG10="","",COUNTIFS('1추특출'!$AI$6:$AI$177,AG10))</f>
        <v/>
      </c>
      <c r="AS10" s="153" t="str">
        <f t="shared" si="8"/>
        <v>OK</v>
      </c>
    </row>
    <row r="11" spans="1:45" ht="60" customHeight="1">
      <c r="A11" s="406" t="s">
        <v>626</v>
      </c>
      <c r="B11" s="407"/>
      <c r="C11" s="408"/>
      <c r="D11" s="407"/>
      <c r="E11" s="408"/>
      <c r="F11" s="407"/>
      <c r="G11" s="407"/>
      <c r="H11" s="409">
        <f t="shared" ref="H11" si="9">SUBTOTAL(9,H12:H14)</f>
        <v>0</v>
      </c>
      <c r="I11" s="409">
        <f t="shared" ref="I11" si="10">SUBTOTAL(9,I12:I14)</f>
        <v>0</v>
      </c>
      <c r="J11" s="410">
        <f t="shared" ref="J11" si="11">SUBTOTAL(9,J12:J14)</f>
        <v>0</v>
      </c>
      <c r="K11" s="409">
        <f t="shared" ref="K11:P11" si="12">SUBTOTAL(9,K12:K16)</f>
        <v>0</v>
      </c>
      <c r="L11" s="409">
        <f t="shared" si="12"/>
        <v>0</v>
      </c>
      <c r="M11" s="411">
        <f t="shared" si="12"/>
        <v>0</v>
      </c>
      <c r="N11" s="412">
        <f t="shared" si="12"/>
        <v>0</v>
      </c>
      <c r="O11" s="409">
        <f t="shared" si="12"/>
        <v>0</v>
      </c>
      <c r="P11" s="413">
        <f t="shared" si="12"/>
        <v>0</v>
      </c>
      <c r="Q11" s="414"/>
      <c r="R11" s="414"/>
      <c r="S11" s="414"/>
      <c r="T11" s="415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21"/>
      <c r="B12" s="319"/>
      <c r="C12" s="320"/>
      <c r="D12" s="396"/>
      <c r="E12" s="416"/>
      <c r="F12" s="396"/>
      <c r="G12" s="417"/>
      <c r="H12" s="405"/>
      <c r="I12" s="405"/>
      <c r="J12" s="466" t="str">
        <f t="shared" ref="J12:J16" si="13">IF(D12="","",H12-I12)</f>
        <v/>
      </c>
      <c r="K12" s="405"/>
      <c r="L12" s="404"/>
      <c r="M12" s="466">
        <f t="shared" ref="M12:M16" si="14">SUM(H12,K12,L12)</f>
        <v>0</v>
      </c>
      <c r="N12" s="418"/>
      <c r="O12" s="404"/>
      <c r="P12" s="467">
        <f t="shared" ref="P12:P16" si="15">SUM(H12,N12,O12)</f>
        <v>0</v>
      </c>
      <c r="Q12" s="346" t="str">
        <f t="shared" si="6"/>
        <v>X</v>
      </c>
      <c r="R12" s="346"/>
      <c r="S12" s="346"/>
      <c r="T12" s="420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IF(C12="","",INDEX(구분표!$I$2:$I$319, MATCH(1,(구분표!$E$2:$E$319='1추특입'!B12)*(구분표!$F$2:$F$319='1추특입'!C12)*(구분표!$G$2:$G$319='1추특입'!A12),0)))</f>
        <v/>
      </c>
      <c r="AJ12" s="151"/>
      <c r="AK12" s="153"/>
      <c r="AL12" s="151"/>
      <c r="AM12" s="20">
        <f>IF(AG12="",0,SUMIFS('1추특출'!$Z$6:$Z$397,'1추특출'!$AI$6:$AI$397,'1추특입'!$AG12))</f>
        <v>0</v>
      </c>
      <c r="AN12" s="20" t="str">
        <f>IF(AG12="","",COUNTIFS('1추특출'!$AI$6:$AI$397,'1추특입'!AG12))</f>
        <v/>
      </c>
      <c r="AO12" s="153" t="str">
        <f t="shared" ref="AO12:AO14" si="16">IF(X12=AM12,"OK","@@")</f>
        <v>OK</v>
      </c>
      <c r="AP12" s="151"/>
      <c r="AQ12" s="20">
        <f>IF(AG12="",0,SUMIFS('1추특출'!$AE$6:$AE$177,'1추특출'!$AI$6:$AI$177,'1추특입'!$AG12))</f>
        <v>0</v>
      </c>
      <c r="AR12" s="20" t="str">
        <f>IF(AG12="","",COUNTIFS('1추특출'!$AI$6:$AI$177,AG12))</f>
        <v/>
      </c>
      <c r="AS12" s="153" t="str">
        <f t="shared" ref="AS12:AS16" si="17">IF(AC12=AQ12,"OK","@@")</f>
        <v>OK</v>
      </c>
    </row>
    <row r="13" spans="1:45" ht="60" customHeight="1">
      <c r="A13" s="397"/>
      <c r="B13" s="396"/>
      <c r="C13" s="416"/>
      <c r="D13" s="396"/>
      <c r="E13" s="416"/>
      <c r="F13" s="396"/>
      <c r="G13" s="417"/>
      <c r="H13" s="405"/>
      <c r="I13" s="405"/>
      <c r="J13" s="466" t="str">
        <f t="shared" si="13"/>
        <v/>
      </c>
      <c r="K13" s="405"/>
      <c r="L13" s="404"/>
      <c r="M13" s="466">
        <f>SUM(H13,K13,L13)</f>
        <v>0</v>
      </c>
      <c r="N13" s="418"/>
      <c r="O13" s="404"/>
      <c r="P13" s="467">
        <f>SUM(H13,N13,O13)</f>
        <v>0</v>
      </c>
      <c r="Q13" s="346" t="str">
        <f t="shared" si="6"/>
        <v>X</v>
      </c>
      <c r="R13" s="346"/>
      <c r="S13" s="346"/>
      <c r="T13" s="420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IF(C13="","",INDEX(구분표!$I$2:$I$319, MATCH(1,(구분표!$E$2:$E$319='1추특입'!B13)*(구분표!$F$2:$F$319='1추특입'!C13)*(구분표!$G$2:$G$319='1추특입'!A13),0)))</f>
        <v/>
      </c>
      <c r="AJ13" s="151"/>
      <c r="AK13" s="153"/>
      <c r="AL13" s="151"/>
      <c r="AM13" s="20">
        <f>IF(AG13="",0,SUMIFS('1추특출'!$Z$6:$Z$397,'1추특출'!$AI$6:$AI$397,'1추특입'!$AG13))</f>
        <v>0</v>
      </c>
      <c r="AN13" s="20" t="str">
        <f>IF(AG13="","",COUNTIFS('1추특출'!$AI$6:$AI$397,'1추특입'!AG13))</f>
        <v/>
      </c>
      <c r="AO13" s="153" t="str">
        <f t="shared" si="16"/>
        <v>OK</v>
      </c>
      <c r="AP13" s="151"/>
      <c r="AQ13" s="20">
        <f>IF(AG13="",0,SUMIFS('1추특출'!$AE$6:$AE$177,'1추특출'!$AI$6:$AI$177,'1추특입'!$AG13))</f>
        <v>0</v>
      </c>
      <c r="AR13" s="20" t="str">
        <f>IF(AG13="","",COUNTIFS('1추특출'!$AI$6:$AI$177,AG13))</f>
        <v/>
      </c>
      <c r="AS13" s="153" t="str">
        <f t="shared" si="17"/>
        <v>OK</v>
      </c>
    </row>
    <row r="14" spans="1:45" ht="60" customHeight="1">
      <c r="A14" s="397"/>
      <c r="B14" s="396"/>
      <c r="C14" s="416"/>
      <c r="D14" s="396"/>
      <c r="E14" s="416"/>
      <c r="F14" s="396"/>
      <c r="G14" s="417"/>
      <c r="H14" s="405"/>
      <c r="I14" s="405"/>
      <c r="J14" s="466" t="str">
        <f t="shared" si="13"/>
        <v/>
      </c>
      <c r="K14" s="405"/>
      <c r="L14" s="404"/>
      <c r="M14" s="466">
        <f t="shared" si="14"/>
        <v>0</v>
      </c>
      <c r="N14" s="418"/>
      <c r="O14" s="404"/>
      <c r="P14" s="467">
        <f t="shared" si="15"/>
        <v>0</v>
      </c>
      <c r="Q14" s="346" t="str">
        <f t="shared" si="6"/>
        <v>X</v>
      </c>
      <c r="R14" s="346"/>
      <c r="S14" s="346"/>
      <c r="T14" s="420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IF(C14="","",INDEX(구분표!$I$2:$I$319, MATCH(1,(구분표!$E$2:$E$319='1추특입'!B14)*(구분표!$F$2:$F$319='1추특입'!C14)*(구분표!$G$2:$G$319='1추특입'!A14),0)))</f>
        <v/>
      </c>
      <c r="AJ14" s="151"/>
      <c r="AK14" s="153"/>
      <c r="AL14" s="151"/>
      <c r="AM14" s="20">
        <f>IF(AG14="",0,SUMIFS('1추특출'!$Z$6:$Z$397,'1추특출'!$AI$6:$AI$397,'1추특입'!$AG14))</f>
        <v>0</v>
      </c>
      <c r="AN14" s="20" t="str">
        <f>IF(AG14="","",COUNTIFS('1추특출'!$AI$6:$AI$397,'1추특입'!AG14))</f>
        <v/>
      </c>
      <c r="AO14" s="153" t="str">
        <f t="shared" si="16"/>
        <v>OK</v>
      </c>
      <c r="AP14" s="151"/>
      <c r="AQ14" s="20">
        <f>IF(AG14="",0,SUMIFS('1추특출'!$AE$6:$AE$177,'1추특출'!$AI$6:$AI$177,'1추특입'!$AG14))</f>
        <v>0</v>
      </c>
      <c r="AR14" s="20" t="str">
        <f>IF(AG14="","",COUNTIFS('1추특출'!$AI$6:$AI$177,AG14))</f>
        <v/>
      </c>
      <c r="AS14" s="153" t="str">
        <f t="shared" si="17"/>
        <v>OK</v>
      </c>
    </row>
    <row r="15" spans="1:45" ht="60" customHeight="1">
      <c r="A15" s="397"/>
      <c r="B15" s="396"/>
      <c r="C15" s="416"/>
      <c r="D15" s="396"/>
      <c r="E15" s="416"/>
      <c r="F15" s="396"/>
      <c r="G15" s="396"/>
      <c r="H15" s="405"/>
      <c r="I15" s="405"/>
      <c r="J15" s="466" t="str">
        <f t="shared" si="13"/>
        <v/>
      </c>
      <c r="K15" s="405"/>
      <c r="L15" s="404"/>
      <c r="M15" s="466">
        <f t="shared" si="14"/>
        <v>0</v>
      </c>
      <c r="N15" s="418"/>
      <c r="O15" s="404"/>
      <c r="P15" s="467">
        <f t="shared" si="15"/>
        <v>0</v>
      </c>
      <c r="Q15" s="421" t="str">
        <f t="shared" si="6"/>
        <v>X</v>
      </c>
      <c r="R15" s="346"/>
      <c r="S15" s="346"/>
      <c r="T15" s="420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MATCH(1,(구분표!$E$2:$E$319='1추특입'!B15)*(구분표!$F$2:$F$319='1추특입'!C15)*(구분표!$G$2:$G$319='1추특입'!A15),0)))</f>
        <v/>
      </c>
      <c r="AK15" s="17"/>
      <c r="AM15" s="20">
        <f>IF(AG15="",0,SUMIFS('1추특출'!$Z$6:$Z$397,'1추특출'!$AI$6:$AI$397,'1추특입'!$AG15))</f>
        <v>0</v>
      </c>
      <c r="AN15" s="20" t="str">
        <f>IF(AG15="","",COUNTIFS('1추특출'!$AI$6:$AI$397,'1추특입'!AG15))</f>
        <v/>
      </c>
      <c r="AO15" s="17" t="str">
        <f t="shared" si="7"/>
        <v>OK</v>
      </c>
      <c r="AQ15" s="20">
        <f>IF(AG15="",0,SUMIFS('1추특출'!$AE$6:$AE$177,'1추특출'!$AI$6:$AI$177,'1추특입'!$AG15))</f>
        <v>0</v>
      </c>
      <c r="AR15" s="20" t="str">
        <f>IF(AG15="","",COUNTIFS('1추특출'!$AI$6:$AI$177,AG15))</f>
        <v/>
      </c>
      <c r="AS15" s="153" t="str">
        <f t="shared" si="17"/>
        <v>OK</v>
      </c>
    </row>
    <row r="16" spans="1:45" ht="60" customHeight="1" thickBot="1">
      <c r="A16" s="422" t="str">
        <f>IFERROR(VLOOKUP($C16,구분표!$A$2:$C$319,2,FALSE),"")</f>
        <v/>
      </c>
      <c r="B16" s="423" t="str">
        <f>IFERROR(VLOOKUP($C16,구분표!$A$2:$C$319,3,FALSE),"")</f>
        <v/>
      </c>
      <c r="C16" s="424"/>
      <c r="D16" s="396"/>
      <c r="E16" s="424"/>
      <c r="F16" s="423"/>
      <c r="G16" s="423"/>
      <c r="H16" s="405"/>
      <c r="I16" s="405"/>
      <c r="J16" s="466" t="str">
        <f t="shared" si="13"/>
        <v/>
      </c>
      <c r="K16" s="425"/>
      <c r="L16" s="426"/>
      <c r="M16" s="466">
        <f t="shared" si="14"/>
        <v>0</v>
      </c>
      <c r="N16" s="427"/>
      <c r="O16" s="428"/>
      <c r="P16" s="468">
        <f t="shared" si="15"/>
        <v>0</v>
      </c>
      <c r="Q16" s="429" t="str">
        <f t="shared" si="6"/>
        <v>X</v>
      </c>
      <c r="R16" s="430"/>
      <c r="S16" s="430"/>
      <c r="T16" s="431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IF(C16="","",INDEX(구분표!$I$2:$I$319, MATCH(1,(구분표!$E$2:$E$319='1추특입'!B16)*(구분표!$F$2:$F$319='1추특입'!C16)*(구분표!$G$2:$G$319='1추특입'!A16),0)))</f>
        <v/>
      </c>
      <c r="AK16" s="17"/>
      <c r="AM16" s="20">
        <f>IF(AG16="",0,SUMIFS('1추특출'!$Z$6:$Z$397,'1추특출'!$AI$6:$AI$397,'1추특입'!$AG16))</f>
        <v>0</v>
      </c>
      <c r="AN16" s="20" t="str">
        <f>IF(AG16="","",COUNTIFS('1추특출'!$AI$6:$AI$397,'1추특입'!AG16))</f>
        <v/>
      </c>
      <c r="AO16" s="17" t="str">
        <f t="shared" si="7"/>
        <v>OK</v>
      </c>
      <c r="AQ16" s="20">
        <f>IF(AG16="",0,SUMIFS('1추특출'!$AE$6:$AE$177,'1추특출'!$AI$6:$AI$177,'1추특입'!$AG16))</f>
        <v>0</v>
      </c>
      <c r="AR16" s="20" t="str">
        <f>IF(AG16="","",COUNTIFS('1추특출'!$AI$6:$AI$177,AG16))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3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6:D1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U9" sqref="U9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1.625" style="1" customWidth="1"/>
    <col min="14" max="14" width="14.625" style="1" customWidth="1"/>
    <col min="15" max="15" width="14.625" style="15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51" customWidth="1"/>
    <col min="20" max="20" width="25.125" style="151" customWidth="1"/>
    <col min="21" max="21" width="25.875" style="151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76" t="s">
        <v>606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>
        <f>SUM(N7:N753)/2</f>
        <v>0</v>
      </c>
      <c r="O3" s="144"/>
      <c r="P3" s="339"/>
      <c r="Q3" s="339"/>
      <c r="R3" s="144">
        <f>SUM(R7:R753)/2</f>
        <v>0</v>
      </c>
      <c r="V3" s="14" t="s">
        <v>415</v>
      </c>
      <c r="Z3" s="26" t="str">
        <f>IF(Z6='1추특입'!X6,"OK","@@")</f>
        <v>OK</v>
      </c>
      <c r="AA3" s="26"/>
      <c r="AB3" s="26" t="str">
        <f>IF(COUNTIF(AB6:AB26,"검토")&gt;0,"@@","OK")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IF(COUNTIF(AG6:AG26,"검토")&gt;0,"@@","OK")</f>
        <v>OK</v>
      </c>
    </row>
    <row r="4" spans="1:42" s="209" customFormat="1" ht="30" customHeight="1">
      <c r="A4" s="582" t="s">
        <v>574</v>
      </c>
      <c r="B4" s="625" t="s">
        <v>406</v>
      </c>
      <c r="C4" s="624" t="s">
        <v>407</v>
      </c>
      <c r="D4" s="626" t="s">
        <v>408</v>
      </c>
      <c r="E4" s="627" t="s">
        <v>414</v>
      </c>
      <c r="F4" s="628" t="s">
        <v>409</v>
      </c>
      <c r="G4" s="629" t="s">
        <v>565</v>
      </c>
      <c r="H4" s="624" t="s">
        <v>572</v>
      </c>
      <c r="I4" s="587" t="s">
        <v>636</v>
      </c>
      <c r="J4" s="589" t="s">
        <v>596</v>
      </c>
      <c r="K4" s="553" t="s">
        <v>637</v>
      </c>
      <c r="L4" s="562" t="s">
        <v>597</v>
      </c>
      <c r="M4" s="563"/>
      <c r="N4" s="564" t="s">
        <v>602</v>
      </c>
      <c r="O4" s="591" t="s">
        <v>612</v>
      </c>
      <c r="P4" s="566" t="s">
        <v>613</v>
      </c>
      <c r="Q4" s="584"/>
      <c r="R4" s="591" t="s">
        <v>603</v>
      </c>
      <c r="S4" s="621" t="s">
        <v>413</v>
      </c>
      <c r="T4" s="580" t="s">
        <v>611</v>
      </c>
      <c r="U4" s="580" t="s">
        <v>600</v>
      </c>
      <c r="V4" s="622" t="s">
        <v>604</v>
      </c>
      <c r="W4" s="604" t="s">
        <v>416</v>
      </c>
      <c r="X4" s="208"/>
      <c r="Y4" s="605" t="s">
        <v>417</v>
      </c>
      <c r="Z4" s="605" t="s">
        <v>418</v>
      </c>
      <c r="AA4" s="605"/>
      <c r="AB4" s="605"/>
      <c r="AD4" s="598" t="s">
        <v>417</v>
      </c>
      <c r="AE4" s="601" t="s">
        <v>422</v>
      </c>
      <c r="AF4" s="601"/>
      <c r="AG4" s="601"/>
      <c r="AI4" s="605" t="s">
        <v>423</v>
      </c>
      <c r="AK4" s="617" t="s">
        <v>443</v>
      </c>
      <c r="AL4" s="619" t="s">
        <v>444</v>
      </c>
      <c r="AN4" s="599" t="s">
        <v>424</v>
      </c>
      <c r="AP4" s="599" t="s">
        <v>425</v>
      </c>
    </row>
    <row r="5" spans="1:42" s="209" customFormat="1" ht="18" customHeight="1">
      <c r="A5" s="583"/>
      <c r="B5" s="609"/>
      <c r="C5" s="607"/>
      <c r="D5" s="611"/>
      <c r="E5" s="607"/>
      <c r="F5" s="614"/>
      <c r="G5" s="630"/>
      <c r="H5" s="607"/>
      <c r="I5" s="588"/>
      <c r="J5" s="590"/>
      <c r="K5" s="554"/>
      <c r="L5" s="479" t="s">
        <v>410</v>
      </c>
      <c r="M5" s="479" t="s">
        <v>411</v>
      </c>
      <c r="N5" s="565"/>
      <c r="O5" s="592"/>
      <c r="P5" s="324" t="s">
        <v>410</v>
      </c>
      <c r="Q5" s="325" t="s">
        <v>411</v>
      </c>
      <c r="R5" s="592"/>
      <c r="S5" s="602"/>
      <c r="T5" s="581"/>
      <c r="U5" s="581"/>
      <c r="V5" s="623"/>
      <c r="W5" s="605"/>
      <c r="X5" s="208"/>
      <c r="Y5" s="605"/>
      <c r="Z5" s="246" t="s">
        <v>419</v>
      </c>
      <c r="AA5" s="246" t="s">
        <v>420</v>
      </c>
      <c r="AB5" s="246" t="s">
        <v>421</v>
      </c>
      <c r="AD5" s="598"/>
      <c r="AE5" s="210" t="s">
        <v>419</v>
      </c>
      <c r="AF5" s="210" t="s">
        <v>420</v>
      </c>
      <c r="AG5" s="210" t="s">
        <v>421</v>
      </c>
      <c r="AI5" s="605"/>
      <c r="AK5" s="618"/>
      <c r="AL5" s="620"/>
      <c r="AN5" s="598"/>
      <c r="AP5" s="598"/>
    </row>
    <row r="6" spans="1:42" ht="50.1" customHeight="1">
      <c r="A6" s="432"/>
      <c r="B6" s="433" t="s">
        <v>430</v>
      </c>
      <c r="C6" s="434"/>
      <c r="D6" s="434"/>
      <c r="E6" s="434"/>
      <c r="F6" s="435"/>
      <c r="G6" s="434"/>
      <c r="H6" s="470"/>
      <c r="I6" s="471">
        <f t="shared" ref="I6:R6" si="0">SUBTOTAL(9,I7:I26)</f>
        <v>0</v>
      </c>
      <c r="J6" s="471">
        <f t="shared" si="0"/>
        <v>0</v>
      </c>
      <c r="K6" s="471">
        <f t="shared" si="0"/>
        <v>0</v>
      </c>
      <c r="L6" s="471">
        <f t="shared" si="0"/>
        <v>0</v>
      </c>
      <c r="M6" s="471">
        <f t="shared" si="0"/>
        <v>0</v>
      </c>
      <c r="N6" s="472">
        <f t="shared" si="0"/>
        <v>0</v>
      </c>
      <c r="O6" s="473">
        <f t="shared" si="0"/>
        <v>0</v>
      </c>
      <c r="P6" s="436">
        <f t="shared" si="0"/>
        <v>0</v>
      </c>
      <c r="Q6" s="336">
        <f t="shared" si="0"/>
        <v>0</v>
      </c>
      <c r="R6" s="473">
        <f t="shared" si="0"/>
        <v>0</v>
      </c>
      <c r="S6" s="474"/>
      <c r="T6" s="475"/>
      <c r="U6" s="437"/>
      <c r="V6" s="434"/>
      <c r="W6" s="138"/>
      <c r="X6" s="139"/>
      <c r="Y6" s="138"/>
      <c r="Z6" s="19">
        <f>SUBTOTAL(9,Z7:Z26)</f>
        <v>0</v>
      </c>
      <c r="AA6" s="19">
        <f>SUBTOTAL(9,AA7:AA26)</f>
        <v>0</v>
      </c>
      <c r="AB6" s="17" t="str">
        <f>IF(SUM($L6:$M6)=SUM($Z6:$AA6),"OK","검토")</f>
        <v>OK</v>
      </c>
      <c r="AD6" s="16"/>
      <c r="AE6" s="19">
        <f>SUBTOTAL(9,AE7:AE26)</f>
        <v>0</v>
      </c>
      <c r="AF6" s="19">
        <f>SUBTOTAL(9,AF7:AF26)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38"/>
      <c r="B7" s="407" t="s">
        <v>627</v>
      </c>
      <c r="C7" s="407"/>
      <c r="D7" s="407"/>
      <c r="E7" s="407"/>
      <c r="F7" s="407"/>
      <c r="G7" s="407"/>
      <c r="H7" s="439"/>
      <c r="I7" s="440">
        <f t="shared" ref="I7:R7" si="1">SUBTOTAL(9,I8:I10)</f>
        <v>0</v>
      </c>
      <c r="J7" s="440">
        <f t="shared" si="1"/>
        <v>0</v>
      </c>
      <c r="K7" s="440">
        <f t="shared" si="1"/>
        <v>0</v>
      </c>
      <c r="L7" s="440">
        <f t="shared" si="1"/>
        <v>0</v>
      </c>
      <c r="M7" s="440">
        <f t="shared" si="1"/>
        <v>0</v>
      </c>
      <c r="N7" s="441">
        <f t="shared" si="1"/>
        <v>0</v>
      </c>
      <c r="O7" s="442">
        <f t="shared" si="1"/>
        <v>0</v>
      </c>
      <c r="P7" s="443">
        <f t="shared" si="1"/>
        <v>0</v>
      </c>
      <c r="Q7" s="337">
        <f t="shared" si="1"/>
        <v>0</v>
      </c>
      <c r="R7" s="442">
        <f t="shared" si="1"/>
        <v>0</v>
      </c>
      <c r="S7" s="444"/>
      <c r="T7" s="445"/>
      <c r="U7" s="446"/>
      <c r="V7" s="447"/>
      <c r="W7" s="137"/>
      <c r="X7" s="139"/>
      <c r="Y7" s="137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301">
        <v>1</v>
      </c>
      <c r="B8" s="256"/>
      <c r="C8" s="342"/>
      <c r="D8" s="448"/>
      <c r="E8" s="342"/>
      <c r="F8" s="342"/>
      <c r="G8" s="342"/>
      <c r="H8" s="343"/>
      <c r="I8" s="305"/>
      <c r="J8" s="305"/>
      <c r="K8" s="349">
        <f>I8-J8</f>
        <v>0</v>
      </c>
      <c r="L8" s="305"/>
      <c r="M8" s="305"/>
      <c r="N8" s="350">
        <f>I8+L8+M8</f>
        <v>0</v>
      </c>
      <c r="O8" s="344">
        <f>R8-N8</f>
        <v>0</v>
      </c>
      <c r="P8" s="345"/>
      <c r="Q8" s="338"/>
      <c r="R8" s="351">
        <f>I8+P8+Q8</f>
        <v>0</v>
      </c>
      <c r="S8" s="346" t="str">
        <f>IF(AND((N8=0),(R8&gt;0)),"O",IF(AND((L8&lt;0),(N8-R8&lt;0)),"O","X"))</f>
        <v>X</v>
      </c>
      <c r="T8" s="449"/>
      <c r="U8" s="449" t="s">
        <v>878</v>
      </c>
      <c r="V8" s="449"/>
      <c r="W8" s="137"/>
      <c r="X8" s="139"/>
      <c r="Y8" s="137"/>
      <c r="Z8" s="20">
        <f>IF($Y8&lt;&gt;"도비",IF($W8="국도비","직접입력",SUM($L8:$M8)),)</f>
        <v>0</v>
      </c>
      <c r="AA8" s="20">
        <f>IF($Y8="도비",SUM($L8:$M8),IF($W8="국도비","직접입력",SUM($L8:$M8)-$Z8))</f>
        <v>0</v>
      </c>
      <c r="AB8" s="153" t="str">
        <f>IF(SUM($L8:$M8)=SUM($Z8:$AA8),"OK","검토")</f>
        <v>OK</v>
      </c>
      <c r="AC8" s="151"/>
      <c r="AD8" s="153"/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53" t="str">
        <f>IF(SUM(P8:Q8)=SUM(AE8:AF8),"OK","검토")</f>
        <v>OK</v>
      </c>
      <c r="AH8" s="151"/>
      <c r="AI8" s="153" t="str">
        <f t="shared" ref="AI8:AI10" si="2">IF(Y8="","",IF(Y8="도비","세입없음","직접입력"))</f>
        <v/>
      </c>
      <c r="AJ8" s="151"/>
      <c r="AK8" s="152" t="str">
        <f>IF(AI8="","",COUNTIF($AI$7:$AI$26,AI8))</f>
        <v/>
      </c>
      <c r="AL8" s="163" t="str">
        <f t="shared" ref="AL8:AL9" si="3">IF(Y8="","",IF(AND(Y8="도비",AI8="세입없음"),"OK",IF(AND(Y8&lt;&gt;"도비",AI8&lt;&gt;""),"OK","@@")))</f>
        <v/>
      </c>
      <c r="AM8" s="151"/>
      <c r="AN8" s="153" t="str">
        <f t="array" ref="AN8">IF(D8="","",INDEX(구분표!$I$2:$I$319, MATCH(1,(구분표!$E$2:$E$319='1추특출'!C8)*(구분표!$F$2:$F$319='1추특출'!D8)*(구분표!$G$2:$G$319='1추특출'!B8),0)))</f>
        <v/>
      </c>
      <c r="AO8" s="151"/>
      <c r="AP8" s="153"/>
    </row>
    <row r="9" spans="1:42" s="151" customFormat="1" ht="60" customHeight="1">
      <c r="A9" s="258">
        <f>COUNTA($C$8:C9)-COUNTBLANK($C$8:C9)</f>
        <v>-1</v>
      </c>
      <c r="B9" s="256"/>
      <c r="C9" s="342" t="str">
        <f>IF(D9="","",VLOOKUP(D9,구분표!$A$3:$C$223,3,))</f>
        <v/>
      </c>
      <c r="D9" s="448"/>
      <c r="E9" s="342"/>
      <c r="F9" s="342"/>
      <c r="G9" s="342"/>
      <c r="H9" s="343"/>
      <c r="I9" s="305"/>
      <c r="J9" s="305"/>
      <c r="K9" s="349">
        <f t="shared" ref="K9" si="4">I9-J9</f>
        <v>0</v>
      </c>
      <c r="L9" s="305"/>
      <c r="M9" s="305"/>
      <c r="N9" s="350">
        <f t="shared" ref="N9" si="5">I9+L9+M9</f>
        <v>0</v>
      </c>
      <c r="O9" s="344">
        <f>R9-N9</f>
        <v>0</v>
      </c>
      <c r="P9" s="345"/>
      <c r="Q9" s="338"/>
      <c r="R9" s="351">
        <f t="shared" ref="R9" si="6">I9+P9+Q9</f>
        <v>0</v>
      </c>
      <c r="S9" s="421" t="str">
        <f>IF(AND((N9=0),(R9&gt;0)),"O",IF(AND((L9&lt;0),(N9-R9&lt;0)),"O","X"))</f>
        <v>X</v>
      </c>
      <c r="T9" s="449"/>
      <c r="U9" s="449"/>
      <c r="V9" s="450"/>
      <c r="W9" s="137"/>
      <c r="X9" s="139"/>
      <c r="Y9" s="137"/>
      <c r="Z9" s="20">
        <f>IF($Y9&lt;&gt;"도비",IF($W9="국도비","직접입력",SUM($L9:$M9)),)</f>
        <v>0</v>
      </c>
      <c r="AA9" s="20">
        <f>IF($Y9="도비",SUM($L9:$M9),IF($W9="국도비","직접입력",SUM($L9:$M9)-$Z9))</f>
        <v>0</v>
      </c>
      <c r="AB9" s="153" t="str">
        <f>IF(SUM($L9:$M9)=SUM($Z9:$AA9),"OK","검토")</f>
        <v>OK</v>
      </c>
      <c r="AD9" s="153"/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53" t="str">
        <f>IF(SUM(P9:Q9)=SUM(AE9:AF9),"OK","검토")</f>
        <v>OK</v>
      </c>
      <c r="AI9" s="153" t="str">
        <f t="shared" ref="AI9" si="7">IF(Y9="","",IF(Y9="도비","세입없음","직접입력"))</f>
        <v/>
      </c>
      <c r="AK9" s="152" t="str">
        <f>IF(AI9="","",COUNTIF($AI$7:$AI$26,AI9))</f>
        <v/>
      </c>
      <c r="AL9" s="163" t="str">
        <f t="shared" si="3"/>
        <v/>
      </c>
      <c r="AN9" s="153" t="str">
        <f t="array" ref="AN9">IF(D9="","",INDEX(구분표!$I$2:$I$319, MATCH(1,(구분표!$E$2:$E$319='1추특출'!C9)*(구분표!$F$2:$F$319='1추특출'!D9)*(구분표!$G$2:$G$319='1추특출'!B9),0)))</f>
        <v/>
      </c>
      <c r="AP9" s="153"/>
    </row>
    <row r="10" spans="1:42" s="151" customFormat="1" ht="60" customHeight="1">
      <c r="A10" s="258">
        <f>COUNTA($C$8:C10)-COUNTBLANK($C$8:C10)</f>
        <v>-1</v>
      </c>
      <c r="B10" s="256"/>
      <c r="C10" s="342" t="str">
        <f>IF(D10="","",VLOOKUP(D10,구분표!$A$3:$C$223,3,))</f>
        <v/>
      </c>
      <c r="D10" s="448"/>
      <c r="E10" s="342"/>
      <c r="F10" s="342"/>
      <c r="G10" s="342"/>
      <c r="H10" s="343"/>
      <c r="I10" s="305"/>
      <c r="J10" s="305"/>
      <c r="K10" s="349">
        <f t="shared" ref="K10" si="8">I10-J10</f>
        <v>0</v>
      </c>
      <c r="L10" s="305"/>
      <c r="M10" s="305"/>
      <c r="N10" s="350">
        <f t="shared" ref="N10" si="9">I10+L10+M10</f>
        <v>0</v>
      </c>
      <c r="O10" s="344">
        <f>R10-N10</f>
        <v>0</v>
      </c>
      <c r="P10" s="345"/>
      <c r="Q10" s="338"/>
      <c r="R10" s="351">
        <f t="shared" ref="R10" si="10">I10+P10+Q10</f>
        <v>0</v>
      </c>
      <c r="S10" s="421" t="str">
        <f t="shared" ref="S10" si="11">IF(AND((N10=0),(R10&gt;0)),"O",IF(AND((L10&lt;0),(N10-R10&lt;0)),"O","X"))</f>
        <v>X</v>
      </c>
      <c r="T10" s="449"/>
      <c r="U10" s="449"/>
      <c r="V10" s="450"/>
      <c r="W10" s="137"/>
      <c r="X10" s="139"/>
      <c r="Y10" s="137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53" t="str">
        <f>IF(SUM($L10:$M10)=SUM($Z10:$AA10),"OK","검토")</f>
        <v>OK</v>
      </c>
      <c r="AD10" s="153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53" t="str">
        <f>IF(SUM(P10:Q10)=SUM(AE10:AF10),"OK","검토")</f>
        <v>OK</v>
      </c>
      <c r="AI10" s="153" t="str">
        <f t="shared" si="2"/>
        <v/>
      </c>
      <c r="AK10" s="152" t="str">
        <f>IF(AI10="","",COUNTIF($AI$7:$AI$26,AI10))</f>
        <v/>
      </c>
      <c r="AL10" s="163" t="str">
        <f t="shared" ref="AL10" si="12">IF(Y10="","",IF(AND(Y10="도비",AI10="세입없음"),"OK",IF(AND(Y10&lt;&gt;"도비",AI10&lt;&gt;""),"OK","@@")))</f>
        <v/>
      </c>
      <c r="AN10" s="153" t="str">
        <f t="array" ref="AN10">IF(D10="","",INDEX(구분표!$I$2:$I$319, MATCH(1,(구분표!$E$2:$E$319='1추특출'!C10)*(구분표!$F$2:$F$319='1추특출'!D10)*(구분표!$G$2:$G$319='1추특출'!B10),0)))</f>
        <v/>
      </c>
      <c r="AP10" s="153"/>
    </row>
    <row r="11" spans="1:42" ht="60" customHeight="1">
      <c r="A11" s="438"/>
      <c r="B11" s="407" t="s">
        <v>627</v>
      </c>
      <c r="C11" s="407"/>
      <c r="D11" s="407"/>
      <c r="E11" s="407"/>
      <c r="F11" s="407"/>
      <c r="G11" s="407"/>
      <c r="H11" s="451"/>
      <c r="I11" s="440">
        <f t="shared" ref="I11:R11" si="13">SUBTOTAL(9,I12:I21)</f>
        <v>0</v>
      </c>
      <c r="J11" s="440">
        <f t="shared" si="13"/>
        <v>0</v>
      </c>
      <c r="K11" s="440">
        <f t="shared" si="13"/>
        <v>0</v>
      </c>
      <c r="L11" s="440">
        <f t="shared" si="13"/>
        <v>0</v>
      </c>
      <c r="M11" s="440">
        <f t="shared" si="13"/>
        <v>0</v>
      </c>
      <c r="N11" s="441">
        <f t="shared" si="13"/>
        <v>0</v>
      </c>
      <c r="O11" s="442">
        <f t="shared" si="13"/>
        <v>0</v>
      </c>
      <c r="P11" s="443">
        <f t="shared" si="13"/>
        <v>0</v>
      </c>
      <c r="Q11" s="337">
        <f t="shared" si="13"/>
        <v>0</v>
      </c>
      <c r="R11" s="442">
        <f t="shared" si="13"/>
        <v>0</v>
      </c>
      <c r="S11" s="444"/>
      <c r="T11" s="445"/>
      <c r="U11" s="446"/>
      <c r="V11" s="447"/>
      <c r="W11" s="137"/>
      <c r="X11" s="139"/>
      <c r="Y11" s="137"/>
      <c r="Z11" s="20"/>
      <c r="AA11" s="20"/>
      <c r="AB11" s="17"/>
      <c r="AD11" s="17"/>
      <c r="AE11" s="20"/>
      <c r="AF11" s="20"/>
      <c r="AG11" s="17"/>
      <c r="AI11" s="17" t="str">
        <f t="shared" ref="AI11:AI18" si="14">IF(Y11="","",IF(Y11="도비","세입없음","직접입력"))</f>
        <v/>
      </c>
      <c r="AK11" s="15"/>
      <c r="AL11" s="27"/>
      <c r="AN11" s="17"/>
      <c r="AP11" s="17"/>
    </row>
    <row r="12" spans="1:42" ht="60" customHeight="1">
      <c r="A12" s="301">
        <f>COUNTA($C$8:C12)-COUNTBLANK($C$8:C12)+1</f>
        <v>-1</v>
      </c>
      <c r="B12" s="256"/>
      <c r="C12" s="342" t="str">
        <f>IF(D12="","",VLOOKUP(D12,구분표!$A$3:$C$223,3,))</f>
        <v/>
      </c>
      <c r="D12" s="448"/>
      <c r="E12" s="342"/>
      <c r="F12" s="342"/>
      <c r="G12" s="342"/>
      <c r="H12" s="343"/>
      <c r="I12" s="305"/>
      <c r="J12" s="305"/>
      <c r="K12" s="349">
        <f t="shared" ref="K12:K18" si="15">I12-J12</f>
        <v>0</v>
      </c>
      <c r="L12" s="305"/>
      <c r="M12" s="305"/>
      <c r="N12" s="350">
        <f t="shared" ref="N12:N18" si="16">I12+L12+M12</f>
        <v>0</v>
      </c>
      <c r="O12" s="344">
        <f t="shared" ref="O12:O21" si="17">R12-N12</f>
        <v>0</v>
      </c>
      <c r="P12" s="345"/>
      <c r="Q12" s="338"/>
      <c r="R12" s="351">
        <f t="shared" ref="R12:R18" si="18">I12+P12+Q12</f>
        <v>0</v>
      </c>
      <c r="S12" s="346" t="str">
        <f t="shared" ref="S12:S18" si="19">IF(AND((N12=0),(R12&gt;0)),"O",IF(AND((L12&lt;0),(N12-R12&lt;0)),"O","X"))</f>
        <v>X</v>
      </c>
      <c r="T12" s="449"/>
      <c r="U12" s="342"/>
      <c r="V12" s="417"/>
      <c r="W12" s="137"/>
      <c r="X12" s="139"/>
      <c r="Y12" s="137"/>
      <c r="Z12" s="20">
        <f t="shared" ref="Z12:Z21" si="20">IF($Y12&lt;&gt;"도비",IF($W12="국도비","직접입력",SUM($L12:$M12)),)</f>
        <v>0</v>
      </c>
      <c r="AA12" s="20">
        <f t="shared" ref="AA12:AA21" si="21">IF($Y12="도비",SUM($L12:$M12),IF($W12="국도비","직접입력",SUM($L12:$M12)-$Z12))</f>
        <v>0</v>
      </c>
      <c r="AB12" s="153" t="str">
        <f t="shared" ref="AB12:AB21" si="22">IF(SUM($L12:$M12)=SUM($Z12:$AA12),"OK","검토")</f>
        <v>OK</v>
      </c>
      <c r="AC12" s="151"/>
      <c r="AD12" s="153"/>
      <c r="AE12" s="20">
        <f t="shared" ref="AE12:AE21" si="23">IF($Y12&lt;&gt;"도비",IF($W12="국도비","직접입력",SUM($P12:$Q12)),)</f>
        <v>0</v>
      </c>
      <c r="AF12" s="20">
        <f t="shared" ref="AF12:AF21" si="24">IF($Y12="도비",SUM(P12:Q12),IF($W12="국도비","직접입력",SUM(P12:Q12)-AE12))</f>
        <v>0</v>
      </c>
      <c r="AG12" s="153" t="str">
        <f t="shared" ref="AG12:AG21" si="25">IF(SUM(P12:Q12)=SUM(AE12:AF12),"OK","검토")</f>
        <v>OK</v>
      </c>
      <c r="AH12" s="151"/>
      <c r="AI12" s="153" t="str">
        <f t="shared" si="14"/>
        <v/>
      </c>
      <c r="AJ12" s="151"/>
      <c r="AK12" s="152" t="str">
        <f t="shared" ref="AK12:AK21" si="26">IF(AI12="","",COUNTIF($AI$7:$AI$26,AI12))</f>
        <v/>
      </c>
      <c r="AL12" s="163" t="str">
        <f t="shared" ref="AL12:AL18" si="27">IF(Y12="","",IF(AND(Y12="도비",AI12="세입없음"),"OK",IF(AND(Y12&lt;&gt;"도비",AI12&lt;&gt;""),"OK","@@")))</f>
        <v/>
      </c>
      <c r="AM12" s="151"/>
      <c r="AN12" s="153" t="str">
        <f t="array" ref="AN12">IF(D12="","",INDEX(구분표!$I$2:$I$319, MATCH(1,(구분표!$E$2:$E$319='1추특출'!C12)*(구분표!$F$2:$F$319='1추특출'!D12)*(구분표!$G$2:$G$319='1추특출'!B12),0)))</f>
        <v/>
      </c>
      <c r="AO12" s="151"/>
      <c r="AP12" s="153"/>
    </row>
    <row r="13" spans="1:42" s="151" customFormat="1" ht="60" customHeight="1">
      <c r="A13" s="301">
        <f>COUNTA($C$8:C13)-COUNTBLANK($C$8:C13)+1</f>
        <v>-1</v>
      </c>
      <c r="B13" s="256"/>
      <c r="C13" s="342" t="str">
        <f>IF(D13="","",VLOOKUP(D13,구분표!$A$3:$C$223,3,))</f>
        <v/>
      </c>
      <c r="D13" s="448"/>
      <c r="E13" s="342"/>
      <c r="F13" s="342"/>
      <c r="G13" s="342"/>
      <c r="H13" s="343"/>
      <c r="I13" s="305"/>
      <c r="J13" s="305"/>
      <c r="K13" s="349">
        <f t="shared" si="15"/>
        <v>0</v>
      </c>
      <c r="L13" s="305"/>
      <c r="M13" s="305"/>
      <c r="N13" s="350">
        <f t="shared" si="16"/>
        <v>0</v>
      </c>
      <c r="O13" s="344">
        <f t="shared" si="17"/>
        <v>0</v>
      </c>
      <c r="P13" s="345"/>
      <c r="Q13" s="338"/>
      <c r="R13" s="351">
        <f t="shared" si="18"/>
        <v>0</v>
      </c>
      <c r="S13" s="346" t="str">
        <f t="shared" si="19"/>
        <v>X</v>
      </c>
      <c r="T13" s="449"/>
      <c r="U13" s="342"/>
      <c r="V13" s="417"/>
      <c r="W13" s="137"/>
      <c r="X13" s="139"/>
      <c r="Y13" s="137"/>
      <c r="Z13" s="20">
        <f t="shared" si="20"/>
        <v>0</v>
      </c>
      <c r="AA13" s="20">
        <f t="shared" si="21"/>
        <v>0</v>
      </c>
      <c r="AB13" s="153" t="str">
        <f t="shared" si="22"/>
        <v>OK</v>
      </c>
      <c r="AD13" s="153"/>
      <c r="AE13" s="20">
        <f t="shared" si="23"/>
        <v>0</v>
      </c>
      <c r="AF13" s="20">
        <f t="shared" si="24"/>
        <v>0</v>
      </c>
      <c r="AG13" s="153" t="str">
        <f t="shared" si="25"/>
        <v>OK</v>
      </c>
      <c r="AI13" s="153" t="str">
        <f t="shared" si="14"/>
        <v/>
      </c>
      <c r="AK13" s="152" t="str">
        <f t="shared" si="26"/>
        <v/>
      </c>
      <c r="AL13" s="163" t="str">
        <f t="shared" si="27"/>
        <v/>
      </c>
      <c r="AN13" s="153" t="str">
        <f t="array" ref="AN13">IF(D13="","",INDEX(구분표!$I$2:$I$319, MATCH(1,(구분표!$E$2:$E$319='1추특출'!C13)*(구분표!$F$2:$F$319='1추특출'!D13)*(구분표!$G$2:$G$319='1추특출'!B13),0)))</f>
        <v/>
      </c>
      <c r="AP13" s="153"/>
    </row>
    <row r="14" spans="1:42" s="151" customFormat="1" ht="60" customHeight="1">
      <c r="A14" s="301">
        <f>COUNTA($C$8:C14)-COUNTBLANK($C$8:C14)+1</f>
        <v>-1</v>
      </c>
      <c r="B14" s="256"/>
      <c r="C14" s="342" t="str">
        <f>IF(D14="","",VLOOKUP(D14,구분표!$A$3:$C$223,3,))</f>
        <v/>
      </c>
      <c r="D14" s="448"/>
      <c r="E14" s="342"/>
      <c r="F14" s="342"/>
      <c r="G14" s="342"/>
      <c r="H14" s="343"/>
      <c r="I14" s="305"/>
      <c r="J14" s="305"/>
      <c r="K14" s="349">
        <f t="shared" si="15"/>
        <v>0</v>
      </c>
      <c r="L14" s="305"/>
      <c r="M14" s="305"/>
      <c r="N14" s="350">
        <f t="shared" si="16"/>
        <v>0</v>
      </c>
      <c r="O14" s="344">
        <f t="shared" si="17"/>
        <v>0</v>
      </c>
      <c r="P14" s="345"/>
      <c r="Q14" s="338"/>
      <c r="R14" s="351">
        <f t="shared" si="18"/>
        <v>0</v>
      </c>
      <c r="S14" s="346" t="str">
        <f t="shared" si="19"/>
        <v>X</v>
      </c>
      <c r="T14" s="449"/>
      <c r="U14" s="342"/>
      <c r="V14" s="417"/>
      <c r="W14" s="137"/>
      <c r="X14" s="139"/>
      <c r="Y14" s="137"/>
      <c r="Z14" s="20">
        <f t="shared" si="20"/>
        <v>0</v>
      </c>
      <c r="AA14" s="20">
        <f t="shared" si="21"/>
        <v>0</v>
      </c>
      <c r="AB14" s="153" t="str">
        <f t="shared" si="22"/>
        <v>OK</v>
      </c>
      <c r="AD14" s="153"/>
      <c r="AE14" s="20">
        <f t="shared" si="23"/>
        <v>0</v>
      </c>
      <c r="AF14" s="20">
        <f t="shared" si="24"/>
        <v>0</v>
      </c>
      <c r="AG14" s="153" t="str">
        <f t="shared" si="25"/>
        <v>OK</v>
      </c>
      <c r="AI14" s="153" t="str">
        <f t="shared" si="14"/>
        <v/>
      </c>
      <c r="AK14" s="152" t="str">
        <f t="shared" si="26"/>
        <v/>
      </c>
      <c r="AL14" s="163" t="str">
        <f t="shared" si="27"/>
        <v/>
      </c>
      <c r="AN14" s="153" t="str">
        <f t="array" ref="AN14">IF(D14="","",INDEX(구분표!$I$2:$I$319, MATCH(1,(구분표!$E$2:$E$319='1추특출'!C14)*(구분표!$F$2:$F$319='1추특출'!D14)*(구분표!$G$2:$G$319='1추특출'!B14),0)))</f>
        <v/>
      </c>
      <c r="AP14" s="153"/>
    </row>
    <row r="15" spans="1:42" s="151" customFormat="1" ht="60" customHeight="1">
      <c r="A15" s="301">
        <f>COUNTA($C$8:C15)-COUNTBLANK($C$8:C15)+1</f>
        <v>-1</v>
      </c>
      <c r="B15" s="256"/>
      <c r="C15" s="342" t="str">
        <f>IF(D15="","",VLOOKUP(D15,구분표!$A$3:$C$223,3,))</f>
        <v/>
      </c>
      <c r="D15" s="448"/>
      <c r="E15" s="342"/>
      <c r="F15" s="342"/>
      <c r="G15" s="342"/>
      <c r="H15" s="343"/>
      <c r="I15" s="305"/>
      <c r="J15" s="305"/>
      <c r="K15" s="349">
        <f t="shared" si="15"/>
        <v>0</v>
      </c>
      <c r="L15" s="305"/>
      <c r="M15" s="305"/>
      <c r="N15" s="350">
        <f t="shared" si="16"/>
        <v>0</v>
      </c>
      <c r="O15" s="344">
        <f t="shared" si="17"/>
        <v>0</v>
      </c>
      <c r="P15" s="345"/>
      <c r="Q15" s="338"/>
      <c r="R15" s="351">
        <f t="shared" si="18"/>
        <v>0</v>
      </c>
      <c r="S15" s="346" t="str">
        <f t="shared" si="19"/>
        <v>X</v>
      </c>
      <c r="T15" s="449"/>
      <c r="U15" s="342"/>
      <c r="V15" s="417"/>
      <c r="W15" s="137"/>
      <c r="X15" s="139"/>
      <c r="Y15" s="137"/>
      <c r="Z15" s="20">
        <f t="shared" si="20"/>
        <v>0</v>
      </c>
      <c r="AA15" s="20">
        <f t="shared" si="21"/>
        <v>0</v>
      </c>
      <c r="AB15" s="153" t="str">
        <f t="shared" si="22"/>
        <v>OK</v>
      </c>
      <c r="AD15" s="153"/>
      <c r="AE15" s="20">
        <f t="shared" si="23"/>
        <v>0</v>
      </c>
      <c r="AF15" s="20">
        <f t="shared" si="24"/>
        <v>0</v>
      </c>
      <c r="AG15" s="153" t="str">
        <f t="shared" si="25"/>
        <v>OK</v>
      </c>
      <c r="AI15" s="153" t="str">
        <f t="shared" si="14"/>
        <v/>
      </c>
      <c r="AK15" s="152" t="str">
        <f t="shared" si="26"/>
        <v/>
      </c>
      <c r="AL15" s="163" t="str">
        <f t="shared" si="27"/>
        <v/>
      </c>
      <c r="AN15" s="153" t="str">
        <f t="array" ref="AN15">IF(D15="","",INDEX(구분표!$I$2:$I$319, MATCH(1,(구분표!$E$2:$E$319='1추특출'!C15)*(구분표!$F$2:$F$319='1추특출'!D15)*(구분표!$G$2:$G$319='1추특출'!B15),0)))</f>
        <v/>
      </c>
      <c r="AP15" s="153"/>
    </row>
    <row r="16" spans="1:42" s="151" customFormat="1" ht="60" customHeight="1">
      <c r="A16" s="301">
        <f>COUNTA($C$8:C16)-COUNTBLANK($C$8:C16)+1</f>
        <v>-1</v>
      </c>
      <c r="B16" s="256"/>
      <c r="C16" s="342" t="str">
        <f>IF(D16="","",VLOOKUP(D16,구분표!$A$3:$C$223,3,))</f>
        <v/>
      </c>
      <c r="D16" s="448"/>
      <c r="E16" s="342"/>
      <c r="F16" s="342"/>
      <c r="G16" s="342"/>
      <c r="H16" s="343"/>
      <c r="I16" s="305"/>
      <c r="J16" s="305"/>
      <c r="K16" s="349">
        <f t="shared" si="15"/>
        <v>0</v>
      </c>
      <c r="L16" s="305"/>
      <c r="M16" s="305"/>
      <c r="N16" s="350">
        <f t="shared" si="16"/>
        <v>0</v>
      </c>
      <c r="O16" s="344">
        <f t="shared" si="17"/>
        <v>0</v>
      </c>
      <c r="P16" s="345"/>
      <c r="Q16" s="338"/>
      <c r="R16" s="351">
        <f t="shared" si="18"/>
        <v>0</v>
      </c>
      <c r="S16" s="346" t="str">
        <f t="shared" si="19"/>
        <v>X</v>
      </c>
      <c r="T16" s="449"/>
      <c r="U16" s="342"/>
      <c r="V16" s="417"/>
      <c r="W16" s="137"/>
      <c r="X16" s="139"/>
      <c r="Y16" s="137"/>
      <c r="Z16" s="20">
        <f t="shared" si="20"/>
        <v>0</v>
      </c>
      <c r="AA16" s="20">
        <f t="shared" si="21"/>
        <v>0</v>
      </c>
      <c r="AB16" s="153" t="str">
        <f t="shared" si="22"/>
        <v>OK</v>
      </c>
      <c r="AD16" s="153"/>
      <c r="AE16" s="20">
        <f t="shared" si="23"/>
        <v>0</v>
      </c>
      <c r="AF16" s="20">
        <f t="shared" si="24"/>
        <v>0</v>
      </c>
      <c r="AG16" s="153" t="str">
        <f t="shared" si="25"/>
        <v>OK</v>
      </c>
      <c r="AI16" s="153" t="str">
        <f t="shared" si="14"/>
        <v/>
      </c>
      <c r="AK16" s="152" t="str">
        <f t="shared" si="26"/>
        <v/>
      </c>
      <c r="AL16" s="163" t="str">
        <f t="shared" si="27"/>
        <v/>
      </c>
      <c r="AN16" s="153" t="str">
        <f t="array" ref="AN16">IF(D16="","",INDEX(구분표!$I$2:$I$319, MATCH(1,(구분표!$E$2:$E$319='1추특출'!C16)*(구분표!$F$2:$F$319='1추특출'!D16)*(구분표!$G$2:$G$319='1추특출'!B16),0)))</f>
        <v/>
      </c>
      <c r="AP16" s="153"/>
    </row>
    <row r="17" spans="1:42" s="151" customFormat="1" ht="60" customHeight="1">
      <c r="A17" s="301">
        <f>COUNTA($C$8:C17)-COUNTBLANK($C$8:C17)+1</f>
        <v>-1</v>
      </c>
      <c r="B17" s="256"/>
      <c r="C17" s="342" t="str">
        <f>IF(D17="","",VLOOKUP(D17,구분표!$A$3:$C$223,3,))</f>
        <v/>
      </c>
      <c r="D17" s="448"/>
      <c r="E17" s="342"/>
      <c r="F17" s="342"/>
      <c r="G17" s="342"/>
      <c r="H17" s="343"/>
      <c r="I17" s="305"/>
      <c r="J17" s="305"/>
      <c r="K17" s="349">
        <f t="shared" si="15"/>
        <v>0</v>
      </c>
      <c r="L17" s="305"/>
      <c r="M17" s="305"/>
      <c r="N17" s="350">
        <f t="shared" si="16"/>
        <v>0</v>
      </c>
      <c r="O17" s="344">
        <f t="shared" si="17"/>
        <v>0</v>
      </c>
      <c r="P17" s="345"/>
      <c r="Q17" s="338"/>
      <c r="R17" s="351">
        <f t="shared" si="18"/>
        <v>0</v>
      </c>
      <c r="S17" s="346" t="str">
        <f t="shared" si="19"/>
        <v>X</v>
      </c>
      <c r="T17" s="449"/>
      <c r="U17" s="342"/>
      <c r="V17" s="417"/>
      <c r="W17" s="137"/>
      <c r="X17" s="139"/>
      <c r="Y17" s="137"/>
      <c r="Z17" s="20">
        <f t="shared" si="20"/>
        <v>0</v>
      </c>
      <c r="AA17" s="20">
        <f t="shared" si="21"/>
        <v>0</v>
      </c>
      <c r="AB17" s="153" t="str">
        <f t="shared" si="22"/>
        <v>OK</v>
      </c>
      <c r="AD17" s="153"/>
      <c r="AE17" s="20">
        <f t="shared" si="23"/>
        <v>0</v>
      </c>
      <c r="AF17" s="20">
        <f t="shared" si="24"/>
        <v>0</v>
      </c>
      <c r="AG17" s="153" t="str">
        <f t="shared" si="25"/>
        <v>OK</v>
      </c>
      <c r="AI17" s="153" t="str">
        <f t="shared" si="14"/>
        <v/>
      </c>
      <c r="AK17" s="152" t="str">
        <f t="shared" si="26"/>
        <v/>
      </c>
      <c r="AL17" s="163" t="str">
        <f t="shared" si="27"/>
        <v/>
      </c>
      <c r="AN17" s="153" t="str">
        <f t="array" ref="AN17">IF(D17="","",INDEX(구분표!$I$2:$I$319, MATCH(1,(구분표!$E$2:$E$319='1추특출'!C17)*(구분표!$F$2:$F$319='1추특출'!D17)*(구분표!$G$2:$G$319='1추특출'!B17),0)))</f>
        <v/>
      </c>
      <c r="AP17" s="153"/>
    </row>
    <row r="18" spans="1:42" s="151" customFormat="1" ht="60" customHeight="1">
      <c r="A18" s="301">
        <f>COUNTA($C$8:C18)-COUNTBLANK($C$8:C18)+1</f>
        <v>-1</v>
      </c>
      <c r="B18" s="256"/>
      <c r="C18" s="342" t="str">
        <f>IF(D18="","",VLOOKUP(D18,구분표!$A$3:$C$223,3,))</f>
        <v/>
      </c>
      <c r="D18" s="448"/>
      <c r="E18" s="342"/>
      <c r="F18" s="342"/>
      <c r="G18" s="342"/>
      <c r="H18" s="343"/>
      <c r="I18" s="305"/>
      <c r="J18" s="305"/>
      <c r="K18" s="349">
        <f t="shared" si="15"/>
        <v>0</v>
      </c>
      <c r="L18" s="305"/>
      <c r="M18" s="305"/>
      <c r="N18" s="350">
        <f t="shared" si="16"/>
        <v>0</v>
      </c>
      <c r="O18" s="344">
        <f t="shared" si="17"/>
        <v>0</v>
      </c>
      <c r="P18" s="345"/>
      <c r="Q18" s="338"/>
      <c r="R18" s="351">
        <f t="shared" si="18"/>
        <v>0</v>
      </c>
      <c r="S18" s="346" t="str">
        <f t="shared" si="19"/>
        <v>X</v>
      </c>
      <c r="T18" s="449"/>
      <c r="U18" s="342"/>
      <c r="V18" s="417"/>
      <c r="W18" s="137"/>
      <c r="X18" s="139"/>
      <c r="Y18" s="137"/>
      <c r="Z18" s="20">
        <f t="shared" si="20"/>
        <v>0</v>
      </c>
      <c r="AA18" s="20">
        <f t="shared" si="21"/>
        <v>0</v>
      </c>
      <c r="AB18" s="153" t="str">
        <f t="shared" si="22"/>
        <v>OK</v>
      </c>
      <c r="AD18" s="153"/>
      <c r="AE18" s="20">
        <f t="shared" si="23"/>
        <v>0</v>
      </c>
      <c r="AF18" s="20">
        <f t="shared" si="24"/>
        <v>0</v>
      </c>
      <c r="AG18" s="153" t="str">
        <f t="shared" si="25"/>
        <v>OK</v>
      </c>
      <c r="AI18" s="153" t="str">
        <f t="shared" si="14"/>
        <v/>
      </c>
      <c r="AK18" s="152" t="str">
        <f t="shared" si="26"/>
        <v/>
      </c>
      <c r="AL18" s="163" t="str">
        <f t="shared" si="27"/>
        <v/>
      </c>
      <c r="AN18" s="153" t="str">
        <f t="array" ref="AN18">IF(D18="","",INDEX(구분표!$I$2:$I$319, MATCH(1,(구분표!$E$2:$E$319='1추특출'!C18)*(구분표!$F$2:$F$319='1추특출'!D18)*(구분표!$G$2:$G$319='1추특출'!B18),0)))</f>
        <v/>
      </c>
      <c r="AP18" s="153"/>
    </row>
    <row r="19" spans="1:42" s="151" customFormat="1" ht="60" customHeight="1">
      <c r="A19" s="301">
        <f>COUNTA($C$8:C19)-COUNTBLANK($C$8:C19)+1</f>
        <v>-1</v>
      </c>
      <c r="B19" s="256"/>
      <c r="C19" s="342" t="str">
        <f>IF(D19="","",VLOOKUP(D19,구분표!$A$3:$C$223,3,))</f>
        <v/>
      </c>
      <c r="D19" s="448"/>
      <c r="E19" s="342"/>
      <c r="F19" s="342"/>
      <c r="G19" s="342"/>
      <c r="H19" s="343"/>
      <c r="I19" s="305"/>
      <c r="J19" s="305"/>
      <c r="K19" s="349">
        <f t="shared" ref="K19:K21" si="28">I19-J19</f>
        <v>0</v>
      </c>
      <c r="L19" s="305"/>
      <c r="M19" s="305"/>
      <c r="N19" s="350">
        <f t="shared" ref="N19:N21" si="29">I19+L19+M19</f>
        <v>0</v>
      </c>
      <c r="O19" s="344">
        <f t="shared" si="17"/>
        <v>0</v>
      </c>
      <c r="P19" s="345"/>
      <c r="Q19" s="338"/>
      <c r="R19" s="351">
        <f t="shared" ref="R19:R21" si="30">I19+P19+Q19</f>
        <v>0</v>
      </c>
      <c r="S19" s="346" t="str">
        <f t="shared" ref="S19:S21" si="31">IF(AND((N19=0),(R19&gt;0)),"O",IF(AND((L19&lt;0),(N19-R19&lt;0)),"O","X"))</f>
        <v>X</v>
      </c>
      <c r="T19" s="449"/>
      <c r="U19" s="342"/>
      <c r="V19" s="417"/>
      <c r="W19" s="137"/>
      <c r="X19" s="139"/>
      <c r="Y19" s="137"/>
      <c r="Z19" s="20">
        <f t="shared" si="20"/>
        <v>0</v>
      </c>
      <c r="AA19" s="20">
        <f t="shared" si="21"/>
        <v>0</v>
      </c>
      <c r="AB19" s="153" t="str">
        <f t="shared" si="22"/>
        <v>OK</v>
      </c>
      <c r="AD19" s="153"/>
      <c r="AE19" s="20">
        <f t="shared" si="23"/>
        <v>0</v>
      </c>
      <c r="AF19" s="20">
        <f t="shared" si="24"/>
        <v>0</v>
      </c>
      <c r="AG19" s="153" t="str">
        <f t="shared" si="25"/>
        <v>OK</v>
      </c>
      <c r="AI19" s="153" t="str">
        <f t="shared" ref="AI19:AI21" si="32">IF(Y19="","",IF(Y19="도비","세입없음","직접입력"))</f>
        <v/>
      </c>
      <c r="AK19" s="152" t="str">
        <f t="shared" si="26"/>
        <v/>
      </c>
      <c r="AL19" s="163" t="str">
        <f t="shared" ref="AL19:AL21" si="33">IF(Y19="","",IF(AND(Y19="도비",AI19="세입없음"),"OK",IF(AND(Y19&lt;&gt;"도비",AI19&lt;&gt;""),"OK","@@")))</f>
        <v/>
      </c>
      <c r="AN19" s="153" t="str">
        <f t="array" ref="AN19">IF(D19="","",INDEX(구분표!$I$2:$I$319, MATCH(1,(구분표!$E$2:$E$319='1추특출'!C19)*(구분표!$F$2:$F$319='1추특출'!D19)*(구분표!$G$2:$G$319='1추특출'!B19),0)))</f>
        <v/>
      </c>
      <c r="AP19" s="153"/>
    </row>
    <row r="20" spans="1:42" s="151" customFormat="1" ht="60" customHeight="1">
      <c r="A20" s="301">
        <f>COUNTA($C$8:C20)-COUNTBLANK($C$8:C20)+1</f>
        <v>-1</v>
      </c>
      <c r="B20" s="256"/>
      <c r="C20" s="342" t="str">
        <f>IF(D20="","",VLOOKUP(D20,구분표!$A$3:$C$223,3,))</f>
        <v/>
      </c>
      <c r="D20" s="448"/>
      <c r="E20" s="342"/>
      <c r="F20" s="342"/>
      <c r="G20" s="342"/>
      <c r="H20" s="343"/>
      <c r="I20" s="305"/>
      <c r="J20" s="305"/>
      <c r="K20" s="349">
        <f t="shared" si="28"/>
        <v>0</v>
      </c>
      <c r="L20" s="305"/>
      <c r="M20" s="305"/>
      <c r="N20" s="350">
        <f t="shared" si="29"/>
        <v>0</v>
      </c>
      <c r="O20" s="344">
        <f t="shared" si="17"/>
        <v>0</v>
      </c>
      <c r="P20" s="345"/>
      <c r="Q20" s="338"/>
      <c r="R20" s="351">
        <f t="shared" si="30"/>
        <v>0</v>
      </c>
      <c r="S20" s="346" t="str">
        <f t="shared" si="31"/>
        <v>X</v>
      </c>
      <c r="T20" s="449"/>
      <c r="U20" s="342"/>
      <c r="V20" s="417"/>
      <c r="W20" s="137"/>
      <c r="X20" s="139"/>
      <c r="Y20" s="137"/>
      <c r="Z20" s="20">
        <f t="shared" si="20"/>
        <v>0</v>
      </c>
      <c r="AA20" s="20">
        <f t="shared" si="21"/>
        <v>0</v>
      </c>
      <c r="AB20" s="153" t="str">
        <f t="shared" si="22"/>
        <v>OK</v>
      </c>
      <c r="AD20" s="153"/>
      <c r="AE20" s="20">
        <f t="shared" si="23"/>
        <v>0</v>
      </c>
      <c r="AF20" s="20">
        <f t="shared" si="24"/>
        <v>0</v>
      </c>
      <c r="AG20" s="153" t="str">
        <f t="shared" si="25"/>
        <v>OK</v>
      </c>
      <c r="AI20" s="153" t="str">
        <f t="shared" si="32"/>
        <v/>
      </c>
      <c r="AK20" s="152" t="str">
        <f t="shared" si="26"/>
        <v/>
      </c>
      <c r="AL20" s="163" t="str">
        <f t="shared" si="33"/>
        <v/>
      </c>
      <c r="AN20" s="153" t="str">
        <f t="array" ref="AN20">IF(D20="","",INDEX(구분표!$I$2:$I$319, MATCH(1,(구분표!$E$2:$E$319='1추특출'!C20)*(구분표!$F$2:$F$319='1추특출'!D20)*(구분표!$G$2:$G$319='1추특출'!B20),0)))</f>
        <v/>
      </c>
      <c r="AP20" s="153"/>
    </row>
    <row r="21" spans="1:42" s="151" customFormat="1" ht="60" customHeight="1">
      <c r="A21" s="301">
        <f>COUNTA($C$8:C21)-COUNTBLANK($C$8:C21)+1</f>
        <v>-1</v>
      </c>
      <c r="B21" s="256"/>
      <c r="C21" s="342" t="str">
        <f>IF(D21="","",VLOOKUP(D21,구분표!$A$3:$C$223,3,))</f>
        <v/>
      </c>
      <c r="D21" s="448"/>
      <c r="E21" s="342"/>
      <c r="F21" s="342"/>
      <c r="G21" s="342"/>
      <c r="H21" s="343"/>
      <c r="I21" s="305"/>
      <c r="J21" s="305"/>
      <c r="K21" s="349">
        <f t="shared" si="28"/>
        <v>0</v>
      </c>
      <c r="L21" s="305"/>
      <c r="M21" s="305"/>
      <c r="N21" s="350">
        <f t="shared" si="29"/>
        <v>0</v>
      </c>
      <c r="O21" s="344">
        <f t="shared" si="17"/>
        <v>0</v>
      </c>
      <c r="P21" s="345"/>
      <c r="Q21" s="338"/>
      <c r="R21" s="351">
        <f t="shared" si="30"/>
        <v>0</v>
      </c>
      <c r="S21" s="346" t="str">
        <f t="shared" si="31"/>
        <v>X</v>
      </c>
      <c r="T21" s="449"/>
      <c r="U21" s="342"/>
      <c r="V21" s="417"/>
      <c r="W21" s="137"/>
      <c r="X21" s="139"/>
      <c r="Y21" s="137"/>
      <c r="Z21" s="20">
        <f t="shared" si="20"/>
        <v>0</v>
      </c>
      <c r="AA21" s="20">
        <f t="shared" si="21"/>
        <v>0</v>
      </c>
      <c r="AB21" s="153" t="str">
        <f t="shared" si="22"/>
        <v>OK</v>
      </c>
      <c r="AD21" s="153"/>
      <c r="AE21" s="20">
        <f t="shared" si="23"/>
        <v>0</v>
      </c>
      <c r="AF21" s="20">
        <f t="shared" si="24"/>
        <v>0</v>
      </c>
      <c r="AG21" s="153" t="str">
        <f t="shared" si="25"/>
        <v>OK</v>
      </c>
      <c r="AI21" s="153" t="str">
        <f t="shared" si="32"/>
        <v/>
      </c>
      <c r="AK21" s="152" t="str">
        <f t="shared" si="26"/>
        <v/>
      </c>
      <c r="AL21" s="163" t="str">
        <f t="shared" si="33"/>
        <v/>
      </c>
      <c r="AN21" s="153" t="str">
        <f t="array" ref="AN21">IF(D21="","",INDEX(구분표!$I$2:$I$319, MATCH(1,(구분표!$E$2:$E$319='1추특출'!C21)*(구분표!$F$2:$F$319='1추특출'!D21)*(구분표!$G$2:$G$319='1추특출'!B21),0)))</f>
        <v/>
      </c>
      <c r="AP21" s="153"/>
    </row>
    <row r="22" spans="1:42" s="151" customFormat="1" ht="60" customHeight="1">
      <c r="A22" s="438"/>
      <c r="B22" s="407" t="s">
        <v>627</v>
      </c>
      <c r="C22" s="407"/>
      <c r="D22" s="407"/>
      <c r="E22" s="407"/>
      <c r="F22" s="407"/>
      <c r="G22" s="407"/>
      <c r="H22" s="439"/>
      <c r="I22" s="440">
        <f t="shared" ref="I22:R22" si="34">SUBTOTAL(9,I23:I26)</f>
        <v>0</v>
      </c>
      <c r="J22" s="440">
        <f t="shared" si="34"/>
        <v>0</v>
      </c>
      <c r="K22" s="440">
        <f t="shared" si="34"/>
        <v>0</v>
      </c>
      <c r="L22" s="440">
        <f t="shared" si="34"/>
        <v>0</v>
      </c>
      <c r="M22" s="440">
        <f t="shared" si="34"/>
        <v>0</v>
      </c>
      <c r="N22" s="441">
        <f t="shared" si="34"/>
        <v>0</v>
      </c>
      <c r="O22" s="442">
        <f t="shared" si="34"/>
        <v>0</v>
      </c>
      <c r="P22" s="443">
        <f t="shared" si="34"/>
        <v>0</v>
      </c>
      <c r="Q22" s="337">
        <f t="shared" si="34"/>
        <v>0</v>
      </c>
      <c r="R22" s="442">
        <f t="shared" si="34"/>
        <v>0</v>
      </c>
      <c r="S22" s="414"/>
      <c r="T22" s="452"/>
      <c r="U22" s="453"/>
      <c r="V22" s="447"/>
      <c r="W22" s="137"/>
      <c r="X22" s="139"/>
      <c r="Y22" s="137"/>
      <c r="Z22" s="20"/>
      <c r="AA22" s="20"/>
      <c r="AB22" s="153"/>
      <c r="AD22" s="153"/>
      <c r="AE22" s="20"/>
      <c r="AF22" s="20"/>
      <c r="AG22" s="153"/>
      <c r="AI22" s="153" t="str">
        <f t="shared" ref="AI22:AI26" si="35">IF(Y22="","",IF(Y22="도비","세입없음","직접입력"))</f>
        <v/>
      </c>
      <c r="AK22" s="152"/>
      <c r="AL22" s="163"/>
      <c r="AN22" s="153"/>
      <c r="AP22" s="153"/>
    </row>
    <row r="23" spans="1:42" s="151" customFormat="1" ht="60" customHeight="1">
      <c r="A23" s="301">
        <f>COUNTA($C$8:C23)-COUNTBLANK($C$8:C23)+2</f>
        <v>-1</v>
      </c>
      <c r="B23" s="342"/>
      <c r="C23" s="342" t="str">
        <f>IF(D23="","",VLOOKUP(D23,구분표!$A$3:$C$223,3,))</f>
        <v/>
      </c>
      <c r="D23" s="256"/>
      <c r="E23" s="301"/>
      <c r="F23" s="301"/>
      <c r="G23" s="301"/>
      <c r="H23" s="364"/>
      <c r="I23" s="365"/>
      <c r="J23" s="365"/>
      <c r="K23" s="349">
        <f t="shared" ref="K23:K26" si="36">I23-J23</f>
        <v>0</v>
      </c>
      <c r="L23" s="305"/>
      <c r="M23" s="305"/>
      <c r="N23" s="350">
        <f t="shared" ref="N23" si="37">I23+L23+M23</f>
        <v>0</v>
      </c>
      <c r="O23" s="344">
        <f t="shared" ref="O23:O26" si="38">R23-N23</f>
        <v>0</v>
      </c>
      <c r="P23" s="345"/>
      <c r="Q23" s="338">
        <v>0</v>
      </c>
      <c r="R23" s="351">
        <f t="shared" ref="R23" si="39">I23+P23+Q23</f>
        <v>0</v>
      </c>
      <c r="S23" s="421" t="str">
        <f t="shared" ref="S23:S26" si="40">IF(AND((N23=0),(R23&gt;0)),"O",IF(AND((L23&lt;0),(N23-R23&lt;0)),"O","X"))</f>
        <v>X</v>
      </c>
      <c r="T23" s="354"/>
      <c r="U23" s="354"/>
      <c r="V23" s="354"/>
      <c r="W23" s="137"/>
      <c r="X23" s="139"/>
      <c r="Y23" s="137"/>
      <c r="Z23" s="20">
        <f>IF($Y23&lt;&gt;"도비",IF($W23="국도비","직접입력",SUM($L23:$M23)),)</f>
        <v>0</v>
      </c>
      <c r="AA23" s="20">
        <f>IF($Y23="도비",SUM($L23:$M23),IF($W23="국도비","직접입력",SUM($L23:$M23)-$Z23))</f>
        <v>0</v>
      </c>
      <c r="AB23" s="153" t="str">
        <f>IF(SUM($L23:$M23)=SUM($Z23:$AA23),"OK","검토")</f>
        <v>OK</v>
      </c>
      <c r="AD23" s="153"/>
      <c r="AE23" s="20">
        <f>IF($Y23&lt;&gt;"도비",IF($W23="국도비","직접입력",SUM($P23:$Q23)),)</f>
        <v>0</v>
      </c>
      <c r="AF23" s="20">
        <f>IF($Y23="도비",SUM(P23:Q23),IF($W23="국도비","직접입력",SUM(P23:Q23)-AE23))</f>
        <v>0</v>
      </c>
      <c r="AG23" s="153" t="str">
        <f>IF(SUM(P23:Q23)=SUM(AE23:AF23),"OK","검토")</f>
        <v>OK</v>
      </c>
      <c r="AI23" s="153" t="str">
        <f t="shared" si="35"/>
        <v/>
      </c>
      <c r="AK23" s="152" t="str">
        <f>IF(AI23="","",COUNTIF($AI$7:$AI$26,AI23))</f>
        <v/>
      </c>
      <c r="AL23" s="163" t="str">
        <f t="shared" ref="AL23:AL26" si="41">IF(Y23="","",IF(AND(Y23="도비",AI23="세입없음"),"OK",IF(AND(Y23&lt;&gt;"도비",AI23&lt;&gt;""),"OK","@@")))</f>
        <v/>
      </c>
      <c r="AN23" s="153" t="str">
        <f t="array" ref="AN23">IF(D23="","",INDEX(구분표!$I$2:$I$319, MATCH(1,(구분표!$E$2:$E$319='1추특출'!C23)*(구분표!$F$2:$F$319='1추특출'!D23)*(구분표!$G$2:$G$319='1추특출'!B23),0)))</f>
        <v/>
      </c>
      <c r="AP23" s="153"/>
    </row>
    <row r="24" spans="1:42" s="151" customFormat="1" ht="60" customHeight="1">
      <c r="A24" s="301">
        <f>COUNTA($C$8:C24)-COUNTBLANK($C$8:C24)+2</f>
        <v>-1</v>
      </c>
      <c r="B24" s="342"/>
      <c r="C24" s="342" t="str">
        <f>IF(D24="","",VLOOKUP(D24,구분표!$A$3:$C$223,3,))</f>
        <v/>
      </c>
      <c r="D24" s="256"/>
      <c r="E24" s="301"/>
      <c r="F24" s="301"/>
      <c r="G24" s="342"/>
      <c r="H24" s="343"/>
      <c r="I24" s="305"/>
      <c r="J24" s="305"/>
      <c r="K24" s="349">
        <f t="shared" ref="K24:K25" si="42">I24-J24</f>
        <v>0</v>
      </c>
      <c r="L24" s="305"/>
      <c r="M24" s="305"/>
      <c r="N24" s="350">
        <f>I24+L24+M24</f>
        <v>0</v>
      </c>
      <c r="O24" s="344">
        <f t="shared" si="38"/>
        <v>0</v>
      </c>
      <c r="P24" s="345"/>
      <c r="Q24" s="338">
        <v>0</v>
      </c>
      <c r="R24" s="351">
        <f>I24+P24+Q24</f>
        <v>0</v>
      </c>
      <c r="S24" s="421" t="str">
        <f t="shared" ref="S24:S25" si="43">IF(AND((N24=0),(R24&gt;0)),"O",IF(AND((L24&lt;0),(N24-R24&lt;0)),"O","X"))</f>
        <v>X</v>
      </c>
      <c r="T24" s="449"/>
      <c r="U24" s="342"/>
      <c r="V24" s="417"/>
      <c r="W24" s="137"/>
      <c r="X24" s="139"/>
      <c r="Y24" s="137"/>
      <c r="Z24" s="20">
        <f>IF($Y24&lt;&gt;"도비",IF($W24="국도비","직접입력",SUM($L24:$M24)),)</f>
        <v>0</v>
      </c>
      <c r="AA24" s="20">
        <f>IF($Y24="도비",SUM($L24:$M24),IF($W24="국도비","직접입력",SUM($L24:$M24)-$Z24))</f>
        <v>0</v>
      </c>
      <c r="AB24" s="153" t="str">
        <f>IF(SUM($L24:$M24)=SUM($Z24:$AA24),"OK","검토")</f>
        <v>OK</v>
      </c>
      <c r="AD24" s="153"/>
      <c r="AE24" s="20">
        <f>IF($Y24&lt;&gt;"도비",IF($W24="국도비","직접입력",SUM($P24:$Q24)),)</f>
        <v>0</v>
      </c>
      <c r="AF24" s="20">
        <f>IF($Y24="도비",SUM(P24:Q24),IF($W24="국도비","직접입력",SUM(P24:Q24)-AE24))</f>
        <v>0</v>
      </c>
      <c r="AG24" s="153" t="str">
        <f>IF(SUM(P24:Q24)=SUM(AE24:AF24),"OK","검토")</f>
        <v>OK</v>
      </c>
      <c r="AI24" s="153" t="str">
        <f t="shared" ref="AI24:AI25" si="44">IF(Y24="","",IF(Y24="도비","세입없음","직접입력"))</f>
        <v/>
      </c>
      <c r="AK24" s="152" t="str">
        <f>IF(AI24="","",COUNTIF($AI$7:$AI$26,AI24))</f>
        <v/>
      </c>
      <c r="AL24" s="163" t="str">
        <f t="shared" ref="AL24:AL25" si="45">IF(Y24="","",IF(AND(Y24="도비",AI24="세입없음"),"OK",IF(AND(Y24&lt;&gt;"도비",AI24&lt;&gt;""),"OK","@@")))</f>
        <v/>
      </c>
      <c r="AN24" s="153" t="str">
        <f t="array" ref="AN24">IF(D24="","",INDEX(구분표!$I$2:$I$319, MATCH(1,(구분표!$E$2:$E$319='1추특출'!C24)*(구분표!$F$2:$F$319='1추특출'!D24)*(구분표!$G$2:$G$319='1추특출'!B24),0)))</f>
        <v/>
      </c>
      <c r="AP24" s="153"/>
    </row>
    <row r="25" spans="1:42" s="151" customFormat="1" ht="60" customHeight="1">
      <c r="A25" s="301">
        <f>COUNTA($C$8:C25)-COUNTBLANK($C$8:C25)+2</f>
        <v>-1</v>
      </c>
      <c r="B25" s="342"/>
      <c r="C25" s="342" t="str">
        <f>IF(D25="","",VLOOKUP(D25,구분표!$A$3:$C$223,3,))</f>
        <v/>
      </c>
      <c r="D25" s="256"/>
      <c r="E25" s="301"/>
      <c r="F25" s="301"/>
      <c r="G25" s="342"/>
      <c r="H25" s="343"/>
      <c r="I25" s="305"/>
      <c r="J25" s="305"/>
      <c r="K25" s="349">
        <f t="shared" si="42"/>
        <v>0</v>
      </c>
      <c r="L25" s="305"/>
      <c r="M25" s="305"/>
      <c r="N25" s="350">
        <f>I25+L25+M25</f>
        <v>0</v>
      </c>
      <c r="O25" s="344">
        <f t="shared" si="38"/>
        <v>0</v>
      </c>
      <c r="P25" s="345"/>
      <c r="Q25" s="338">
        <v>0</v>
      </c>
      <c r="R25" s="351">
        <f>I25+P25+Q25</f>
        <v>0</v>
      </c>
      <c r="S25" s="421" t="str">
        <f t="shared" si="43"/>
        <v>X</v>
      </c>
      <c r="T25" s="449"/>
      <c r="U25" s="342"/>
      <c r="V25" s="417"/>
      <c r="W25" s="137"/>
      <c r="X25" s="139"/>
      <c r="Y25" s="137"/>
      <c r="Z25" s="20">
        <f>IF($Y25&lt;&gt;"도비",IF($W25="국도비","직접입력",SUM($L25:$M25)),)</f>
        <v>0</v>
      </c>
      <c r="AA25" s="20">
        <f>IF($Y25="도비",SUM($L25:$M25),IF($W25="국도비","직접입력",SUM($L25:$M25)-$Z25))</f>
        <v>0</v>
      </c>
      <c r="AB25" s="153" t="str">
        <f>IF(SUM($L25:$M25)=SUM($Z25:$AA25),"OK","검토")</f>
        <v>OK</v>
      </c>
      <c r="AD25" s="153"/>
      <c r="AE25" s="20">
        <f>IF($Y25&lt;&gt;"도비",IF($W25="국도비","직접입력",SUM($P25:$Q25)),)</f>
        <v>0</v>
      </c>
      <c r="AF25" s="20">
        <f>IF($Y25="도비",SUM(P25:Q25),IF($W25="국도비","직접입력",SUM(P25:Q25)-AE25))</f>
        <v>0</v>
      </c>
      <c r="AG25" s="153" t="str">
        <f>IF(SUM(P25:Q25)=SUM(AE25:AF25),"OK","검토")</f>
        <v>OK</v>
      </c>
      <c r="AI25" s="153" t="str">
        <f t="shared" si="44"/>
        <v/>
      </c>
      <c r="AK25" s="152" t="str">
        <f>IF(AI25="","",COUNTIF($AI$7:$AI$26,AI25))</f>
        <v/>
      </c>
      <c r="AL25" s="163" t="str">
        <f t="shared" si="45"/>
        <v/>
      </c>
      <c r="AN25" s="153" t="str">
        <f t="array" ref="AN25">IF(D25="","",INDEX(구분표!$I$2:$I$319, MATCH(1,(구분표!$E$2:$E$319='1추특출'!C25)*(구분표!$F$2:$F$319='1추특출'!D25)*(구분표!$G$2:$G$319='1추특출'!B25),0)))</f>
        <v/>
      </c>
      <c r="AP25" s="153"/>
    </row>
    <row r="26" spans="1:42" s="151" customFormat="1" ht="60" customHeight="1" thickBot="1">
      <c r="A26" s="258">
        <f>COUNTA($C$8:C26)-COUNTBLANK($C$8:C26)+2</f>
        <v>-1</v>
      </c>
      <c r="B26" s="342"/>
      <c r="C26" s="342" t="str">
        <f>IF(D26="","",VLOOKUP(D26,구분표!$A$3:$C$223,3,))</f>
        <v/>
      </c>
      <c r="D26" s="342"/>
      <c r="E26" s="342"/>
      <c r="F26" s="342"/>
      <c r="G26" s="342"/>
      <c r="H26" s="343"/>
      <c r="I26" s="305"/>
      <c r="J26" s="305"/>
      <c r="K26" s="349">
        <f t="shared" si="36"/>
        <v>0</v>
      </c>
      <c r="L26" s="305"/>
      <c r="M26" s="305"/>
      <c r="N26" s="350">
        <f>I26+L26+M26</f>
        <v>0</v>
      </c>
      <c r="O26" s="454">
        <f t="shared" si="38"/>
        <v>0</v>
      </c>
      <c r="P26" s="455"/>
      <c r="Q26" s="456"/>
      <c r="R26" s="469">
        <f>I26+P26+Q26</f>
        <v>0</v>
      </c>
      <c r="S26" s="421" t="str">
        <f t="shared" si="40"/>
        <v>X</v>
      </c>
      <c r="T26" s="449"/>
      <c r="U26" s="342"/>
      <c r="V26" s="457"/>
      <c r="W26" s="137"/>
      <c r="X26" s="139"/>
      <c r="Y26" s="137"/>
      <c r="Z26" s="20">
        <f>IF($Y26&lt;&gt;"도비",IF($W26="국도비","직접입력",SUM($L26:$M26)),)</f>
        <v>0</v>
      </c>
      <c r="AA26" s="20">
        <f>IF($Y26="도비",SUM($L26:$M26),IF($W26="국도비","직접입력",SUM($L26:$M26)-$Z26))</f>
        <v>0</v>
      </c>
      <c r="AB26" s="153" t="str">
        <f>IF(SUM($L26:$M26)=SUM($Z26:$AA26),"OK","검토")</f>
        <v>OK</v>
      </c>
      <c r="AD26" s="153"/>
      <c r="AE26" s="20">
        <f>IF($Y26&lt;&gt;"도비",IF($W26="국도비","직접입력",SUM($P26:$Q26)),)</f>
        <v>0</v>
      </c>
      <c r="AF26" s="20">
        <f>IF($Y26="도비",SUM(P26:Q26),IF($W26="국도비","직접입력",SUM(P26:Q26)-AE26))</f>
        <v>0</v>
      </c>
      <c r="AG26" s="153" t="str">
        <f>IF(SUM(P26:Q26)=SUM(AE26:AF26),"OK","검토")</f>
        <v>OK</v>
      </c>
      <c r="AI26" s="153" t="str">
        <f t="shared" si="35"/>
        <v/>
      </c>
      <c r="AK26" s="152" t="str">
        <f>IF(AI26="","",COUNTIF($AI$7:$AI$26,AI26))</f>
        <v/>
      </c>
      <c r="AL26" s="163" t="str">
        <f t="shared" si="41"/>
        <v/>
      </c>
      <c r="AN26" s="153" t="str">
        <f t="array" ref="AN26">IF(D26="","",INDEX(구분표!$I$2:$I$319, MATCH(1,(구분표!$E$2:$E$319='1추특출'!C26)*(구분표!$F$2:$F$319='1추특출'!D26)*(구분표!$G$2:$G$319='1추특출'!B26),0)))</f>
        <v/>
      </c>
      <c r="AP26" s="153"/>
    </row>
    <row r="28" spans="1:42" ht="50.1" hidden="1" customHeight="1">
      <c r="B28" s="1">
        <v>1</v>
      </c>
      <c r="C28" s="1">
        <v>1</v>
      </c>
      <c r="I28" s="151">
        <v>165567406</v>
      </c>
      <c r="J28" s="151">
        <v>38891387</v>
      </c>
      <c r="K28" s="1">
        <v>126676019</v>
      </c>
      <c r="L28" s="1">
        <v>0</v>
      </c>
      <c r="M28" s="1">
        <v>19558062</v>
      </c>
      <c r="N28" s="1">
        <v>185125468</v>
      </c>
      <c r="O28" s="151">
        <v>-10886406</v>
      </c>
      <c r="P28" s="1">
        <v>0</v>
      </c>
      <c r="Q28" s="1">
        <v>8671656</v>
      </c>
      <c r="R28" s="1">
        <v>174239062</v>
      </c>
    </row>
    <row r="29" spans="1:42" ht="50.1" hidden="1" customHeight="1">
      <c r="B29" s="1">
        <v>1</v>
      </c>
      <c r="C29" s="1">
        <v>1</v>
      </c>
      <c r="I29" s="143">
        <f t="shared" ref="I29:R29" si="46">I6-I28</f>
        <v>-165567406</v>
      </c>
      <c r="J29" s="143">
        <f t="shared" si="46"/>
        <v>-38891387</v>
      </c>
      <c r="K29" s="143">
        <f t="shared" si="46"/>
        <v>-126676019</v>
      </c>
      <c r="L29" s="143">
        <f t="shared" si="46"/>
        <v>0</v>
      </c>
      <c r="M29" s="143">
        <f t="shared" si="46"/>
        <v>-19558062</v>
      </c>
      <c r="N29" s="143">
        <f t="shared" si="46"/>
        <v>-185125468</v>
      </c>
      <c r="O29" s="143">
        <f t="shared" si="46"/>
        <v>10886406</v>
      </c>
      <c r="P29" s="143">
        <f t="shared" si="46"/>
        <v>0</v>
      </c>
      <c r="Q29" s="143">
        <f t="shared" si="46"/>
        <v>-8671656</v>
      </c>
      <c r="R29" s="143">
        <f t="shared" si="46"/>
        <v>-174239062</v>
      </c>
    </row>
  </sheetData>
  <sheetProtection formatCells="0" autoFilter="0"/>
  <autoFilter ref="A6:AP26"/>
  <mergeCells count="30"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I4:AI5"/>
    <mergeCell ref="AK4:AK5"/>
    <mergeCell ref="AL4:AL5"/>
    <mergeCell ref="AN4:AN5"/>
    <mergeCell ref="AP4:AP5"/>
  </mergeCells>
  <phoneticPr fontId="25" type="noConversion"/>
  <dataValidations count="2">
    <dataValidation type="list" allowBlank="1" showInputMessage="1" showErrorMessage="1" sqref="E6:E26">
      <formula1>"본예산,1회추경,신규"</formula1>
    </dataValidation>
    <dataValidation type="list" allowBlank="1" showInputMessage="1" showErrorMessage="1" sqref="AD7:AD26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D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653" t="s">
        <v>406</v>
      </c>
      <c r="B4" s="651" t="s">
        <v>407</v>
      </c>
      <c r="C4" s="655" t="s">
        <v>408</v>
      </c>
      <c r="D4" s="657" t="s">
        <v>414</v>
      </c>
      <c r="E4" s="658" t="s">
        <v>566</v>
      </c>
      <c r="F4" s="660" t="s">
        <v>565</v>
      </c>
      <c r="G4" s="651" t="s">
        <v>568</v>
      </c>
      <c r="H4" s="648" t="s">
        <v>636</v>
      </c>
      <c r="I4" s="648" t="s">
        <v>596</v>
      </c>
      <c r="J4" s="631" t="s">
        <v>637</v>
      </c>
      <c r="K4" s="633" t="s">
        <v>597</v>
      </c>
      <c r="L4" s="634"/>
      <c r="M4" s="635" t="s">
        <v>602</v>
      </c>
      <c r="N4" s="637" t="s">
        <v>598</v>
      </c>
      <c r="O4" s="638"/>
      <c r="P4" s="639" t="s">
        <v>603</v>
      </c>
      <c r="Q4" s="641" t="s">
        <v>413</v>
      </c>
      <c r="R4" s="646" t="s">
        <v>599</v>
      </c>
      <c r="S4" s="646" t="s">
        <v>600</v>
      </c>
      <c r="T4" s="643" t="s">
        <v>412</v>
      </c>
      <c r="U4" s="604" t="s">
        <v>416</v>
      </c>
      <c r="V4" s="208"/>
      <c r="W4" s="605" t="s">
        <v>417</v>
      </c>
      <c r="X4" s="645" t="s">
        <v>418</v>
      </c>
      <c r="Y4" s="645"/>
      <c r="Z4" s="645"/>
      <c r="AB4" s="598" t="s">
        <v>417</v>
      </c>
      <c r="AC4" s="601" t="s">
        <v>422</v>
      </c>
      <c r="AD4" s="601"/>
      <c r="AE4" s="601"/>
      <c r="AG4" s="598" t="s">
        <v>423</v>
      </c>
      <c r="AI4" s="599" t="s">
        <v>424</v>
      </c>
      <c r="AK4" s="599" t="s">
        <v>425</v>
      </c>
      <c r="AM4" s="600" t="s">
        <v>426</v>
      </c>
      <c r="AN4" s="600"/>
      <c r="AO4" s="600"/>
      <c r="AQ4" s="601" t="s">
        <v>429</v>
      </c>
      <c r="AR4" s="601"/>
      <c r="AS4" s="601"/>
    </row>
    <row r="5" spans="1:45" s="209" customFormat="1" ht="18" customHeight="1">
      <c r="A5" s="654"/>
      <c r="B5" s="652"/>
      <c r="C5" s="656"/>
      <c r="D5" s="652"/>
      <c r="E5" s="659"/>
      <c r="F5" s="661"/>
      <c r="G5" s="652"/>
      <c r="H5" s="649"/>
      <c r="I5" s="650"/>
      <c r="J5" s="632"/>
      <c r="K5" s="230" t="s">
        <v>410</v>
      </c>
      <c r="L5" s="230" t="s">
        <v>411</v>
      </c>
      <c r="M5" s="636"/>
      <c r="N5" s="235" t="s">
        <v>410</v>
      </c>
      <c r="O5" s="227" t="s">
        <v>411</v>
      </c>
      <c r="P5" s="640"/>
      <c r="Q5" s="642"/>
      <c r="R5" s="647"/>
      <c r="S5" s="647"/>
      <c r="T5" s="644"/>
      <c r="U5" s="605"/>
      <c r="V5" s="208"/>
      <c r="W5" s="605"/>
      <c r="X5" s="247" t="s">
        <v>419</v>
      </c>
      <c r="Y5" s="247" t="s">
        <v>420</v>
      </c>
      <c r="Z5" s="247" t="s">
        <v>421</v>
      </c>
      <c r="AB5" s="598"/>
      <c r="AC5" s="210" t="s">
        <v>419</v>
      </c>
      <c r="AD5" s="210" t="s">
        <v>420</v>
      </c>
      <c r="AE5" s="210" t="s">
        <v>421</v>
      </c>
      <c r="AG5" s="598"/>
      <c r="AI5" s="598"/>
      <c r="AK5" s="598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578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IF(AG7="",0,SUMIFS('1추일출'!$AE$6:$AE$112,'1추일출'!$AI$6:$AI$112,'1추기금입'!$AG7))</f>
        <v>0</v>
      </c>
      <c r="AR7" s="20" t="str">
        <f>IF(AG7="","",COUNTIFS('1추일출'!$AI$6:$AI$112,AG7))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IF(AG8="",0,SUMIFS('1추일출'!$AE$6:$AE$112,'1추일출'!$AI$6:$AI$112,'1추기금입'!$AG8))</f>
        <v>0</v>
      </c>
      <c r="AR8" s="20" t="str">
        <f>IF(AG8="","",COUNTIFS('1추일출'!$AI$6:$AI$112,AG8))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IF(AG9="","",COUNTIFS('1추일출'!$AI$6:$AI$112,'1추기금입'!AG9))</f>
        <v/>
      </c>
      <c r="AO9" s="17" t="str">
        <f t="shared" si="4"/>
        <v>OK</v>
      </c>
      <c r="AQ9" s="20">
        <f>IF(AG9="",0,SUMIFS('1추일출'!$AE$6:$AE$112,'1추일출'!$AI$6:$AI$112,'1추기금입'!$AG9))</f>
        <v>0</v>
      </c>
      <c r="AR9" s="20" t="str">
        <f>IF(AG9="","",COUNTIFS('1추일출'!$AI$6:$AI$112,AG9))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8">
        <f t="shared" si="6"/>
        <v>0</v>
      </c>
      <c r="O10" s="168">
        <f t="shared" si="6"/>
        <v>0</v>
      </c>
      <c r="P10" s="239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IF(AG10="",0,SUMIFS('1추일출'!$AE$6:$AE$112,'1추일출'!$AI$6:$AI$112,'1추기금입'!$AG10))</f>
        <v>0</v>
      </c>
      <c r="AR10" s="20" t="str">
        <f>IF(AG10="","",COUNTIFS('1추일출'!$AI$6:$AI$112,AG10))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8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IF(AG11="",0,SUMIFS('1추일출'!$AE$6:$AE$112,'1추일출'!$AI$6:$AI$112,'1추기금입'!$AG11))</f>
        <v>0</v>
      </c>
      <c r="AR11" s="20" t="str">
        <f>IF(AG11="","",COUNTIFS('1추일출'!$AI$6:$AI$112,AG11))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IF(AG12="","",COUNTIFS('1추일출'!$AI$6:$AI$112,'1추기금입'!AG12))</f>
        <v/>
      </c>
      <c r="AO12" s="17" t="str">
        <f t="shared" si="10"/>
        <v>OK</v>
      </c>
      <c r="AQ12" s="20">
        <f>IF(AG12="",0,SUMIFS('1추일출'!$AE$6:$AE$112,'1추일출'!$AI$6:$AI$112,'1추기금입'!$AG12))</f>
        <v>0</v>
      </c>
      <c r="AR12" s="20" t="str">
        <f>IF(AG12="","",COUNTIFS('1추일출'!$AI$6:$AI$112,AG12))</f>
        <v/>
      </c>
      <c r="AS12" s="17" t="str">
        <f t="shared" si="7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8">
        <f t="shared" si="11"/>
        <v>0</v>
      </c>
      <c r="O13" s="168">
        <f t="shared" si="11"/>
        <v>0</v>
      </c>
      <c r="P13" s="239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IF(AG13="",0,SUMIFS('1추일출'!$AE$6:$AE$112,'1추일출'!$AI$6:$AI$112,'1추기금입'!$AG13))</f>
        <v>0</v>
      </c>
      <c r="AR13" s="20" t="str">
        <f>IF(AG13="","",COUNTIFS('1추일출'!$AI$6:$AI$112,AG13))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3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IF(AG14="",0,SUMIFS('1추일출'!$AE$6:$AE$112,'1추일출'!$AI$6:$AI$112,'1추기금입'!$AG14))</f>
        <v>0</v>
      </c>
      <c r="AR14" s="20" t="str">
        <f>IF(AG14="","",COUNTIFS('1추일출'!$AI$6:$AI$112,AG14))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IF(AG15="","",COUNTIFS('1추일출'!$AI$6:$AI$112,'1추기금입'!AG15))</f>
        <v/>
      </c>
      <c r="AO15" s="17" t="str">
        <f t="shared" si="15"/>
        <v>OK</v>
      </c>
      <c r="AQ15" s="20">
        <f>IF(AG15="",0,SUMIFS('1추일출'!$AE$6:$AE$112,'1추일출'!$AI$6:$AI$112,'1추기금입'!$AG15))</f>
        <v>0</v>
      </c>
      <c r="AR15" s="20" t="str">
        <f>IF(AG15="","",COUNTIFS('1추일출'!$AI$6:$AI$112,AG15))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I11" sqref="I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67" t="s">
        <v>406</v>
      </c>
      <c r="B4" s="669" t="s">
        <v>407</v>
      </c>
      <c r="C4" s="655" t="s">
        <v>408</v>
      </c>
      <c r="D4" s="657" t="s">
        <v>414</v>
      </c>
      <c r="E4" s="658" t="s">
        <v>566</v>
      </c>
      <c r="F4" s="660" t="s">
        <v>565</v>
      </c>
      <c r="G4" s="651" t="s">
        <v>563</v>
      </c>
      <c r="H4" s="663" t="s">
        <v>636</v>
      </c>
      <c r="I4" s="665" t="s">
        <v>596</v>
      </c>
      <c r="J4" s="631" t="s">
        <v>637</v>
      </c>
      <c r="K4" s="633" t="s">
        <v>597</v>
      </c>
      <c r="L4" s="634"/>
      <c r="M4" s="635" t="s">
        <v>602</v>
      </c>
      <c r="N4" s="637" t="s">
        <v>598</v>
      </c>
      <c r="O4" s="638"/>
      <c r="P4" s="639" t="s">
        <v>603</v>
      </c>
      <c r="Q4" s="641" t="s">
        <v>413</v>
      </c>
      <c r="R4" s="646" t="s">
        <v>599</v>
      </c>
      <c r="S4" s="646" t="s">
        <v>600</v>
      </c>
      <c r="T4" s="643" t="s">
        <v>412</v>
      </c>
      <c r="U4" s="604" t="s">
        <v>416</v>
      </c>
      <c r="V4" s="208"/>
      <c r="W4" s="605" t="s">
        <v>417</v>
      </c>
      <c r="X4" s="605" t="s">
        <v>418</v>
      </c>
      <c r="Y4" s="605"/>
      <c r="Z4" s="605"/>
      <c r="AB4" s="598" t="s">
        <v>417</v>
      </c>
      <c r="AC4" s="662" t="s">
        <v>422</v>
      </c>
      <c r="AD4" s="662"/>
      <c r="AE4" s="662"/>
      <c r="AG4" s="605" t="s">
        <v>423</v>
      </c>
      <c r="AI4" s="617" t="s">
        <v>443</v>
      </c>
      <c r="AJ4" s="619" t="s">
        <v>444</v>
      </c>
      <c r="AL4" s="599" t="s">
        <v>424</v>
      </c>
      <c r="AN4" s="599" t="s">
        <v>425</v>
      </c>
    </row>
    <row r="5" spans="1:40" s="209" customFormat="1" ht="18" customHeight="1">
      <c r="A5" s="668"/>
      <c r="B5" s="670"/>
      <c r="C5" s="656"/>
      <c r="D5" s="652"/>
      <c r="E5" s="659"/>
      <c r="F5" s="661"/>
      <c r="G5" s="652"/>
      <c r="H5" s="664"/>
      <c r="I5" s="666"/>
      <c r="J5" s="632"/>
      <c r="K5" s="230" t="s">
        <v>410</v>
      </c>
      <c r="L5" s="230" t="s">
        <v>411</v>
      </c>
      <c r="M5" s="636"/>
      <c r="N5" s="235" t="s">
        <v>410</v>
      </c>
      <c r="O5" s="227" t="s">
        <v>411</v>
      </c>
      <c r="P5" s="640"/>
      <c r="Q5" s="642"/>
      <c r="R5" s="647"/>
      <c r="S5" s="647"/>
      <c r="T5" s="644"/>
      <c r="U5" s="605"/>
      <c r="V5" s="208"/>
      <c r="W5" s="605"/>
      <c r="X5" s="246" t="s">
        <v>419</v>
      </c>
      <c r="Y5" s="246" t="s">
        <v>420</v>
      </c>
      <c r="Z5" s="246" t="s">
        <v>421</v>
      </c>
      <c r="AB5" s="598"/>
      <c r="AC5" s="210" t="s">
        <v>419</v>
      </c>
      <c r="AD5" s="210" t="s">
        <v>420</v>
      </c>
      <c r="AE5" s="210" t="s">
        <v>421</v>
      </c>
      <c r="AG5" s="605"/>
      <c r="AI5" s="618"/>
      <c r="AJ5" s="620"/>
      <c r="AL5" s="598"/>
      <c r="AN5" s="598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578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9.25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163"/>
      <c r="S8" s="481" t="s">
        <v>879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si="3"/>
        <v>0</v>
      </c>
      <c r="Q9" s="163" t="str">
        <f t="shared" ref="Q9" si="8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8">
        <f t="shared" si="11"/>
        <v>0</v>
      </c>
      <c r="O12" s="168">
        <f t="shared" si="11"/>
        <v>0</v>
      </c>
      <c r="P12" s="239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2">H13-I13</f>
        <v>0</v>
      </c>
      <c r="K13" s="20"/>
      <c r="L13" s="21"/>
      <c r="M13" s="24">
        <f t="shared" ref="M13:M16" si="13">H13+K13+L13</f>
        <v>0</v>
      </c>
      <c r="N13" s="240"/>
      <c r="O13" s="166"/>
      <c r="P13" s="241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2"/>
        <v>0</v>
      </c>
      <c r="K14" s="20"/>
      <c r="L14" s="21"/>
      <c r="M14" s="24">
        <f t="shared" si="13"/>
        <v>0</v>
      </c>
      <c r="N14" s="240"/>
      <c r="O14" s="166"/>
      <c r="P14" s="241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2"/>
        <v>0</v>
      </c>
      <c r="K15" s="20"/>
      <c r="L15" s="21"/>
      <c r="M15" s="24">
        <f t="shared" si="13"/>
        <v>0</v>
      </c>
      <c r="N15" s="240"/>
      <c r="O15" s="166"/>
      <c r="P15" s="241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2"/>
        <v>0</v>
      </c>
      <c r="K16" s="20"/>
      <c r="L16" s="21"/>
      <c r="M16" s="24">
        <f t="shared" si="13"/>
        <v>0</v>
      </c>
      <c r="N16" s="240"/>
      <c r="O16" s="166"/>
      <c r="P16" s="241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8">
        <f t="shared" si="20"/>
        <v>0</v>
      </c>
      <c r="O17" s="168">
        <f t="shared" si="20"/>
        <v>0</v>
      </c>
      <c r="P17" s="239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2">H18-I18</f>
        <v>0</v>
      </c>
      <c r="K18" s="20"/>
      <c r="L18" s="21"/>
      <c r="M18" s="24">
        <f t="shared" ref="M18:M21" si="23">H18+K18+L18</f>
        <v>0</v>
      </c>
      <c r="N18" s="242"/>
      <c r="O18" s="167"/>
      <c r="P18" s="241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2"/>
        <v>0</v>
      </c>
      <c r="K19" s="20"/>
      <c r="L19" s="21"/>
      <c r="M19" s="24">
        <f t="shared" si="23"/>
        <v>0</v>
      </c>
      <c r="N19" s="242"/>
      <c r="O19" s="167"/>
      <c r="P19" s="241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3"/>
        <v>0</v>
      </c>
      <c r="N20" s="242"/>
      <c r="O20" s="167"/>
      <c r="P20" s="241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2"/>
        <v>0</v>
      </c>
      <c r="K21" s="20"/>
      <c r="L21" s="21"/>
      <c r="M21" s="24">
        <f t="shared" si="23"/>
        <v>0</v>
      </c>
      <c r="N21" s="240"/>
      <c r="O21" s="166"/>
      <c r="P21" s="241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J20" sqref="J20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77" t="s">
        <v>629</v>
      </c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78" t="s">
        <v>549</v>
      </c>
      <c r="C4" s="680" t="s">
        <v>550</v>
      </c>
      <c r="D4" s="682" t="s">
        <v>551</v>
      </c>
      <c r="E4" s="202" t="s">
        <v>630</v>
      </c>
      <c r="F4" s="203"/>
      <c r="G4" s="204"/>
      <c r="H4" s="202" t="s">
        <v>631</v>
      </c>
      <c r="I4" s="203"/>
      <c r="J4" s="204"/>
      <c r="K4" s="682" t="s">
        <v>577</v>
      </c>
      <c r="L4" s="682" t="s">
        <v>632</v>
      </c>
      <c r="M4" s="683" t="s">
        <v>633</v>
      </c>
      <c r="N4" s="685" t="s">
        <v>552</v>
      </c>
    </row>
    <row r="5" spans="1:17" s="82" customFormat="1" ht="27.75" customHeight="1" thickBot="1">
      <c r="B5" s="679"/>
      <c r="C5" s="681"/>
      <c r="D5" s="681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81"/>
      <c r="L5" s="681"/>
      <c r="M5" s="684"/>
      <c r="N5" s="686"/>
    </row>
    <row r="6" spans="1:17" s="81" customFormat="1" ht="32.25" customHeight="1">
      <c r="A6" s="81" t="s">
        <v>557</v>
      </c>
      <c r="B6" s="86" t="s">
        <v>628</v>
      </c>
      <c r="C6" s="87" t="s">
        <v>569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74"/>
    </row>
    <row r="7" spans="1:17" s="81" customFormat="1" ht="32.25" customHeight="1">
      <c r="A7" s="81" t="s">
        <v>558</v>
      </c>
      <c r="B7" s="90"/>
      <c r="C7" s="91" t="s">
        <v>610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75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75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75"/>
    </row>
    <row r="10" spans="1:17" s="81" customFormat="1" ht="32.25" customHeight="1">
      <c r="B10" s="100"/>
      <c r="C10" s="97" t="s">
        <v>570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75"/>
    </row>
    <row r="11" spans="1:17" s="81" customFormat="1" ht="32.25" customHeight="1">
      <c r="B11" s="101"/>
      <c r="C11" s="91" t="s">
        <v>610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75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75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75"/>
    </row>
    <row r="14" spans="1:17" s="81" customFormat="1" ht="32.25" customHeight="1" thickBot="1">
      <c r="B14" s="103"/>
      <c r="C14" s="104" t="s">
        <v>571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76"/>
    </row>
    <row r="15" spans="1:17" s="76" customFormat="1" ht="32.25" customHeight="1">
      <c r="A15" s="76" t="s">
        <v>557</v>
      </c>
      <c r="B15" s="140" t="s">
        <v>576</v>
      </c>
      <c r="C15" s="108" t="s">
        <v>569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71"/>
    </row>
    <row r="16" spans="1:17" s="76" customFormat="1" ht="32.25" customHeight="1">
      <c r="A16" s="76" t="s">
        <v>560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72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72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72"/>
      <c r="O18"/>
      <c r="P18"/>
      <c r="Q18"/>
    </row>
    <row r="19" spans="1:17" s="76" customFormat="1" ht="32.25" customHeight="1">
      <c r="B19" s="121"/>
      <c r="C19" s="122" t="s">
        <v>570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72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72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72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72"/>
      <c r="O22"/>
      <c r="P22"/>
      <c r="Q22"/>
    </row>
    <row r="23" spans="1:17" s="76" customFormat="1" ht="32.25" customHeight="1" thickBot="1">
      <c r="B23" s="127"/>
      <c r="C23" s="128" t="s">
        <v>571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73"/>
      <c r="O23"/>
      <c r="P23"/>
      <c r="Q23"/>
    </row>
    <row r="24" spans="1:17" s="76" customFormat="1" ht="21.95" customHeight="1">
      <c r="A24" s="76" t="s">
        <v>559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560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activeCell="G15" sqref="G15"/>
      <selection pane="topRight" activeCell="G15" sqref="G15"/>
      <selection pane="bottomLeft" activeCell="G15" sqref="G15"/>
      <selection pane="bottomRight" activeCell="G15" sqref="G15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hidden="1" customWidth="1"/>
    <col min="18" max="18" width="15.875" style="173" bestFit="1" customWidth="1"/>
    <col min="19" max="19" width="17.5" style="173" bestFit="1" customWidth="1"/>
    <col min="20" max="20" width="38.6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886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887</v>
      </c>
      <c r="P2" s="199">
        <f>P6-J6</f>
        <v>0</v>
      </c>
      <c r="X2" s="176" t="s">
        <v>888</v>
      </c>
      <c r="AC2" s="176" t="s">
        <v>888</v>
      </c>
    </row>
    <row r="3" spans="1:45" ht="20.25" customHeight="1">
      <c r="J3" s="177"/>
      <c r="K3" s="177"/>
      <c r="L3" s="177"/>
      <c r="M3" s="177"/>
      <c r="N3" s="177"/>
      <c r="O3" s="177"/>
      <c r="P3" s="177"/>
      <c r="T3" s="178" t="s">
        <v>889</v>
      </c>
      <c r="X3" s="179" t="e">
        <f>IF(X6='071추일출'!#REF!,"OK","@@")</f>
        <v>#REF!</v>
      </c>
      <c r="Y3" s="180"/>
      <c r="Z3" s="179" t="str">
        <f>IF(COUNTIF(Z6:Z72,"검토")&gt;0,"@@","OK")</f>
        <v>OK</v>
      </c>
      <c r="AC3" s="179" t="e">
        <f>IF(AC6='071추일출'!#REF!,"OK","@@")</f>
        <v>#REF!</v>
      </c>
      <c r="AD3" s="181">
        <f>N6+O6-AC6-AD6</f>
        <v>0</v>
      </c>
      <c r="AE3" s="179" t="str">
        <f>IF(COUNTIF(AE6:AE72,"검토")&gt;0,"@@","OK")</f>
        <v>OK</v>
      </c>
    </row>
    <row r="4" spans="1:45" s="205" customFormat="1" ht="30" customHeight="1">
      <c r="A4" s="689" t="s">
        <v>890</v>
      </c>
      <c r="B4" s="691" t="s">
        <v>891</v>
      </c>
      <c r="C4" s="693" t="s">
        <v>892</v>
      </c>
      <c r="D4" s="687" t="s">
        <v>893</v>
      </c>
      <c r="E4" s="696" t="s">
        <v>894</v>
      </c>
      <c r="F4" s="687" t="s">
        <v>895</v>
      </c>
      <c r="G4" s="699" t="s">
        <v>896</v>
      </c>
      <c r="H4" s="648" t="s">
        <v>897</v>
      </c>
      <c r="I4" s="648" t="s">
        <v>898</v>
      </c>
      <c r="J4" s="631" t="s">
        <v>899</v>
      </c>
      <c r="K4" s="633" t="s">
        <v>900</v>
      </c>
      <c r="L4" s="634"/>
      <c r="M4" s="635" t="s">
        <v>901</v>
      </c>
      <c r="N4" s="700" t="s">
        <v>902</v>
      </c>
      <c r="O4" s="701"/>
      <c r="P4" s="702" t="s">
        <v>903</v>
      </c>
      <c r="Q4" s="644" t="s">
        <v>904</v>
      </c>
      <c r="R4" s="646" t="s">
        <v>905</v>
      </c>
      <c r="S4" s="646" t="s">
        <v>906</v>
      </c>
      <c r="T4" s="644" t="s">
        <v>907</v>
      </c>
      <c r="U4" s="575" t="s">
        <v>908</v>
      </c>
      <c r="V4" s="207"/>
      <c r="W4" s="576" t="s">
        <v>909</v>
      </c>
      <c r="X4" s="579" t="s">
        <v>910</v>
      </c>
      <c r="Y4" s="579"/>
      <c r="Z4" s="579"/>
      <c r="AB4" s="577" t="s">
        <v>909</v>
      </c>
      <c r="AC4" s="572" t="s">
        <v>911</v>
      </c>
      <c r="AD4" s="572"/>
      <c r="AE4" s="572"/>
      <c r="AG4" s="577" t="s">
        <v>912</v>
      </c>
      <c r="AI4" s="578" t="s">
        <v>913</v>
      </c>
      <c r="AK4" s="578" t="s">
        <v>914</v>
      </c>
      <c r="AM4" s="579" t="s">
        <v>915</v>
      </c>
      <c r="AN4" s="579"/>
      <c r="AO4" s="579"/>
      <c r="AQ4" s="572" t="s">
        <v>916</v>
      </c>
      <c r="AR4" s="572"/>
      <c r="AS4" s="572"/>
    </row>
    <row r="5" spans="1:45" s="205" customFormat="1" ht="18" customHeight="1">
      <c r="A5" s="690"/>
      <c r="B5" s="692"/>
      <c r="C5" s="694"/>
      <c r="D5" s="695"/>
      <c r="E5" s="697"/>
      <c r="F5" s="688"/>
      <c r="G5" s="695"/>
      <c r="H5" s="649"/>
      <c r="I5" s="650"/>
      <c r="J5" s="632"/>
      <c r="K5" s="230" t="s">
        <v>917</v>
      </c>
      <c r="L5" s="230" t="s">
        <v>918</v>
      </c>
      <c r="M5" s="636"/>
      <c r="N5" s="227" t="s">
        <v>917</v>
      </c>
      <c r="O5" s="227" t="s">
        <v>918</v>
      </c>
      <c r="P5" s="703"/>
      <c r="Q5" s="698"/>
      <c r="R5" s="647"/>
      <c r="S5" s="647"/>
      <c r="T5" s="698"/>
      <c r="U5" s="576"/>
      <c r="V5" s="207"/>
      <c r="W5" s="576"/>
      <c r="X5" s="478" t="s">
        <v>919</v>
      </c>
      <c r="Y5" s="478" t="s">
        <v>920</v>
      </c>
      <c r="Z5" s="478" t="s">
        <v>921</v>
      </c>
      <c r="AB5" s="577"/>
      <c r="AC5" s="477" t="s">
        <v>919</v>
      </c>
      <c r="AD5" s="477" t="s">
        <v>920</v>
      </c>
      <c r="AE5" s="477" t="s">
        <v>921</v>
      </c>
      <c r="AG5" s="577"/>
      <c r="AI5" s="577"/>
      <c r="AK5" s="577"/>
      <c r="AM5" s="477" t="s">
        <v>922</v>
      </c>
      <c r="AN5" s="477" t="s">
        <v>923</v>
      </c>
      <c r="AO5" s="477" t="s">
        <v>921</v>
      </c>
      <c r="AQ5" s="477" t="s">
        <v>922</v>
      </c>
      <c r="AR5" s="477" t="s">
        <v>923</v>
      </c>
      <c r="AS5" s="477" t="s">
        <v>921</v>
      </c>
    </row>
    <row r="6" spans="1:45" ht="50.1" customHeight="1">
      <c r="A6" s="185" t="s">
        <v>924</v>
      </c>
      <c r="B6" s="231"/>
      <c r="C6" s="231"/>
      <c r="D6" s="231"/>
      <c r="E6" s="482"/>
      <c r="F6" s="231"/>
      <c r="G6" s="483"/>
      <c r="H6" s="484">
        <f t="shared" ref="H6:P6" si="0">SUBTOTAL(9,H7:H72)</f>
        <v>0</v>
      </c>
      <c r="I6" s="484">
        <f t="shared" si="0"/>
        <v>0</v>
      </c>
      <c r="J6" s="484">
        <f t="shared" si="0"/>
        <v>0</v>
      </c>
      <c r="K6" s="484">
        <f t="shared" si="0"/>
        <v>0</v>
      </c>
      <c r="L6" s="484">
        <f t="shared" si="0"/>
        <v>200</v>
      </c>
      <c r="M6" s="485">
        <f t="shared" si="0"/>
        <v>200</v>
      </c>
      <c r="N6" s="484">
        <f t="shared" si="0"/>
        <v>0</v>
      </c>
      <c r="O6" s="484">
        <f t="shared" si="0"/>
        <v>0</v>
      </c>
      <c r="P6" s="484">
        <f t="shared" si="0"/>
        <v>0</v>
      </c>
      <c r="Q6" s="187"/>
      <c r="R6" s="187"/>
      <c r="S6" s="187"/>
      <c r="T6" s="231"/>
      <c r="U6" s="183"/>
      <c r="W6" s="183"/>
      <c r="X6" s="184">
        <f>SUBTOTAL(9,X7:X72)</f>
        <v>200</v>
      </c>
      <c r="Y6" s="184">
        <f>SUBTOTAL(9,Y7:Y72)</f>
        <v>0</v>
      </c>
      <c r="Z6" s="185" t="str">
        <f t="shared" ref="Z6" si="1">IF(SUM($K6:$L6)=SUM($X6:$Y6),"OK","검토")</f>
        <v>OK</v>
      </c>
      <c r="AB6" s="183"/>
      <c r="AC6" s="184">
        <f>SUBTOTAL(9,AC7:AC72)</f>
        <v>0</v>
      </c>
      <c r="AD6" s="184">
        <f>SUBTOTAL(9,AD7:AD72)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SUBTOTAL(9,AM7:AM72)</f>
        <v>0</v>
      </c>
      <c r="AN6" s="184">
        <f>SUBTOTAL(9,AN7:AN72)</f>
        <v>0</v>
      </c>
      <c r="AO6" s="182" t="str">
        <f>IF(COUNTIF(AO7:AO72,"@@")&gt;0,"@@","OK")</f>
        <v>@@</v>
      </c>
      <c r="AQ6" s="184">
        <f>SUBTOTAL(9,AQ7:AQ72)</f>
        <v>0</v>
      </c>
      <c r="AR6" s="184">
        <f>SUBTOTAL(9,AR7:AR72)</f>
        <v>0</v>
      </c>
      <c r="AS6" s="182" t="str">
        <f>IF(COUNTIF(AS7:AS72,"@@")&gt;0,"@@","OK")</f>
        <v>OK</v>
      </c>
    </row>
    <row r="7" spans="1:45" ht="50.1" customHeight="1">
      <c r="A7" s="486"/>
      <c r="B7" s="487"/>
      <c r="C7" s="488"/>
      <c r="D7" s="489"/>
      <c r="E7" s="490"/>
      <c r="F7" s="489"/>
      <c r="G7" s="491"/>
      <c r="H7" s="186"/>
      <c r="I7" s="186"/>
      <c r="J7" s="229" t="str">
        <f>IF(D7="","",H7-I7)</f>
        <v/>
      </c>
      <c r="K7" s="186"/>
      <c r="L7" s="492"/>
      <c r="M7" s="493">
        <f t="shared" ref="M7:M70" si="2">SUM(J7:L7)</f>
        <v>0</v>
      </c>
      <c r="N7" s="494"/>
      <c r="O7" s="495"/>
      <c r="P7" s="496">
        <f t="shared" ref="P7:P70" si="3">SUM(J7,N7,O7)</f>
        <v>0</v>
      </c>
      <c r="Q7" s="187" t="str">
        <f>IF(AND((M7=0),(P7&gt;0)),"O",IF(AND((K7&lt;0),(M7-P7&lt;0)),"O","X"))</f>
        <v>X</v>
      </c>
      <c r="R7" s="187"/>
      <c r="S7" s="187"/>
      <c r="T7" s="497"/>
      <c r="U7" s="188"/>
      <c r="W7" s="188"/>
      <c r="X7" s="186">
        <f t="shared" ref="X7:X70" si="4">IF($W7&lt;&gt;"도비",IF($U7="국도비","직접입력",SUM($K7:$L7)),)</f>
        <v>0</v>
      </c>
      <c r="Y7" s="186">
        <f t="shared" ref="Y7:Y70" si="5">IF($W7="도비",SUM($K7:$L7),IF($U7="국도비","직접입력",SUM($K7:$L7)-$X7))</f>
        <v>0</v>
      </c>
      <c r="Z7" s="188" t="str">
        <f t="shared" ref="Z7:Z70" si="6">IF(SUM($K7:$L7)=SUM($X7:$Y7),"OK","검토")</f>
        <v>OK</v>
      </c>
      <c r="AB7" s="188"/>
      <c r="AC7" s="186">
        <f t="shared" ref="AC7:AC70" si="7">IF($W7&lt;&gt;"도비",IF($U7="국도비","직접입력",SUM($N7:$O7)),)</f>
        <v>0</v>
      </c>
      <c r="AD7" s="186">
        <f t="shared" ref="AD7:AD70" si="8">IF($W7="도비",SUM(N7:O7),IF($U7="국도비","직접입력",SUM(N7:O7)-AC7))</f>
        <v>0</v>
      </c>
      <c r="AE7" s="188" t="str">
        <f t="shared" ref="AE7:AE70" si="9">IF(SUM(N7:O7)=SUM(AC7:AD7),"OK","검토")</f>
        <v>OK</v>
      </c>
      <c r="AG7" s="188" t="str">
        <f>IF(AI7="","",IF(W7="도비","세입없음",CONCATENATE(AI7,"-",COUNTIF($AI$7:AI7,AI7))))</f>
        <v/>
      </c>
      <c r="AI7" s="188" t="str">
        <f t="array" ref="AI7">IF(C7="","",INDEX([1]구분표!$I$2:$I$311, MATCH(1,([1]구분표!$E$2:$E$311='071추일입'!B7)*([1]구분표!$F$2:$F$311='071추일입'!C7)*([1]구분표!$G$2:$G$311='071추일입'!A7),0)))</f>
        <v/>
      </c>
      <c r="AK7" s="188"/>
      <c r="AM7" s="186">
        <f>IF(AG7="",0,SUMIFS('071추일출'!$Z$6:$Z$18,'071추일출'!$AI$6:$AI$18,'071추일입'!$AG7))</f>
        <v>0</v>
      </c>
      <c r="AN7" s="186" t="str">
        <f>IF(AG7="","",COUNTIFS('071추일출'!$AI$6:$AI$18,'071추일입'!AG7))</f>
        <v/>
      </c>
      <c r="AO7" s="188" t="str">
        <f t="shared" ref="AO7:AO70" si="10">IF(X7=AM7,"OK","@@")</f>
        <v>OK</v>
      </c>
      <c r="AQ7" s="186">
        <f>IF(AG7="",0,SUMIFS('071추일출'!$AE$6:$AE$18,'071추일출'!$AI$6:$AI$18,'071추일입'!$AG7))</f>
        <v>0</v>
      </c>
      <c r="AR7" s="186" t="str">
        <f>IF(AG7="","",COUNTIFS('071추일출'!$AI$6:$AI$18,AG7))</f>
        <v/>
      </c>
      <c r="AS7" s="188" t="str">
        <f t="shared" ref="AS7:AS70" si="11">IF(AC7=AQ7,"OK","@@")</f>
        <v>OK</v>
      </c>
    </row>
    <row r="8" spans="1:45" ht="50.1" customHeight="1">
      <c r="A8" s="486"/>
      <c r="B8" s="487"/>
      <c r="C8" s="498"/>
      <c r="D8" s="489"/>
      <c r="E8" s="490"/>
      <c r="F8" s="489"/>
      <c r="G8" s="491">
        <v>0</v>
      </c>
      <c r="H8" s="186"/>
      <c r="I8" s="186"/>
      <c r="J8" s="229" t="str">
        <f t="shared" ref="J8:J71" si="12">IF(D8="","",H8-I8)</f>
        <v/>
      </c>
      <c r="K8" s="186"/>
      <c r="L8" s="492">
        <v>200</v>
      </c>
      <c r="M8" s="493">
        <f t="shared" si="2"/>
        <v>200</v>
      </c>
      <c r="N8" s="494"/>
      <c r="O8" s="495"/>
      <c r="P8" s="496">
        <f t="shared" si="3"/>
        <v>0</v>
      </c>
      <c r="Q8" s="187" t="str">
        <f t="shared" ref="Q8:Q72" si="13">IF(AND((M8=0),(P8&gt;0)),"O",IF(AND((K8&lt;0),(M8-P8&lt;0)),"O","X"))</f>
        <v>X</v>
      </c>
      <c r="R8" s="187"/>
      <c r="S8" s="187"/>
      <c r="T8" s="497"/>
      <c r="U8" s="188"/>
      <c r="W8" s="188"/>
      <c r="X8" s="186">
        <f t="shared" si="4"/>
        <v>200</v>
      </c>
      <c r="Y8" s="186">
        <f t="shared" si="5"/>
        <v>0</v>
      </c>
      <c r="Z8" s="188" t="str">
        <f t="shared" si="6"/>
        <v>OK</v>
      </c>
      <c r="AB8" s="188"/>
      <c r="AC8" s="186">
        <f t="shared" si="7"/>
        <v>0</v>
      </c>
      <c r="AD8" s="186">
        <f t="shared" si="8"/>
        <v>0</v>
      </c>
      <c r="AE8" s="188" t="str">
        <f t="shared" si="9"/>
        <v>OK</v>
      </c>
      <c r="AG8" s="188" t="str">
        <f>IF(AI8="","",IF(W8="도비","세입없음",CONCATENATE(AI8,"-",COUNTIF($AI$7:AI8,AI8))))</f>
        <v/>
      </c>
      <c r="AI8" s="188" t="str">
        <f t="array" ref="AI8">IF(C8="","",INDEX([1]구분표!$I$2:$I$311, MATCH(1,([1]구분표!$E$2:$E$311='071추일입'!B8)*([1]구분표!$F$2:$F$311='071추일입'!C8)*([1]구분표!$G$2:$G$311='071추일입'!A8),0)))</f>
        <v/>
      </c>
      <c r="AK8" s="188"/>
      <c r="AM8" s="186">
        <f>IF(AG8="",0,SUMIFS('071추일출'!$Z$6:$Z$18,'071추일출'!$AI$6:$AI$18,'071추일입'!$AG8))</f>
        <v>0</v>
      </c>
      <c r="AN8" s="186" t="str">
        <f>IF(AG8="","",COUNTIFS('071추일출'!$AI$6:$AI$18,'071추일입'!AG8))</f>
        <v/>
      </c>
      <c r="AO8" s="188" t="str">
        <f t="shared" si="10"/>
        <v>@@</v>
      </c>
      <c r="AQ8" s="186">
        <f>IF(AG8="",0,SUMIFS('071추일출'!$AE$6:$AE$18,'071추일출'!$AI$6:$AI$18,'071추일입'!$AG8))</f>
        <v>0</v>
      </c>
      <c r="AR8" s="186" t="str">
        <f>IF(AG8="","",COUNTIFS('071추일출'!$AI$6:$AI$18,AG8))</f>
        <v/>
      </c>
      <c r="AS8" s="188" t="str">
        <f t="shared" si="11"/>
        <v>OK</v>
      </c>
    </row>
    <row r="9" spans="1:45" ht="50.1" customHeight="1">
      <c r="A9" s="486"/>
      <c r="B9" s="487"/>
      <c r="C9" s="488"/>
      <c r="D9" s="489"/>
      <c r="E9" s="489"/>
      <c r="F9" s="490"/>
      <c r="G9" s="491"/>
      <c r="H9" s="186"/>
      <c r="I9" s="186"/>
      <c r="J9" s="229" t="str">
        <f t="shared" si="12"/>
        <v/>
      </c>
      <c r="K9" s="186"/>
      <c r="L9" s="492"/>
      <c r="M9" s="493">
        <f t="shared" si="2"/>
        <v>0</v>
      </c>
      <c r="N9" s="494"/>
      <c r="O9" s="495"/>
      <c r="P9" s="496">
        <f t="shared" si="3"/>
        <v>0</v>
      </c>
      <c r="Q9" s="187" t="str">
        <f t="shared" si="13"/>
        <v>X</v>
      </c>
      <c r="R9" s="187"/>
      <c r="S9" s="187"/>
      <c r="T9" s="497"/>
      <c r="U9" s="188"/>
      <c r="W9" s="188"/>
      <c r="X9" s="186">
        <f t="shared" si="4"/>
        <v>0</v>
      </c>
      <c r="Y9" s="186">
        <f t="shared" si="5"/>
        <v>0</v>
      </c>
      <c r="Z9" s="188" t="str">
        <f t="shared" si="6"/>
        <v>OK</v>
      </c>
      <c r="AB9" s="188"/>
      <c r="AC9" s="186">
        <f t="shared" si="7"/>
        <v>0</v>
      </c>
      <c r="AD9" s="186">
        <f t="shared" si="8"/>
        <v>0</v>
      </c>
      <c r="AE9" s="188" t="str">
        <f t="shared" si="9"/>
        <v>OK</v>
      </c>
      <c r="AG9" s="188" t="str">
        <f>IF(AI9="","",IF(W9="도비","세입없음",CONCATENATE(AI9,"-",COUNTIF($AI$7:AI9,AI9))))</f>
        <v/>
      </c>
      <c r="AI9" s="188" t="str">
        <f t="array" ref="AI9">IF(C9="","",INDEX([1]구분표!$I$2:$I$311, MATCH(1,([1]구분표!$E$2:$E$311='071추일입'!B9)*([1]구분표!$F$2:$F$311='071추일입'!C9)*([1]구분표!$G$2:$G$311='071추일입'!A9),0)))</f>
        <v/>
      </c>
      <c r="AK9" s="188"/>
      <c r="AM9" s="186">
        <f>IF(AG9="",0,SUMIFS('071추일출'!$Z$6:$Z$18,'071추일출'!$AI$6:$AI$18,'071추일입'!$AG9))</f>
        <v>0</v>
      </c>
      <c r="AN9" s="186" t="str">
        <f>IF(AG9="","",COUNTIFS('071추일출'!$AI$6:$AI$18,'071추일입'!AG9))</f>
        <v/>
      </c>
      <c r="AO9" s="188" t="str">
        <f t="shared" si="10"/>
        <v>OK</v>
      </c>
      <c r="AQ9" s="186">
        <f>IF(AG9="",0,SUMIFS('071추일출'!$AE$6:$AE$18,'071추일출'!$AI$6:$AI$18,'071추일입'!$AG9))</f>
        <v>0</v>
      </c>
      <c r="AR9" s="186" t="str">
        <f>IF(AG9="","",COUNTIFS('071추일출'!$AI$6:$AI$18,AG9))</f>
        <v/>
      </c>
      <c r="AS9" s="188" t="str">
        <f t="shared" si="11"/>
        <v>OK</v>
      </c>
    </row>
    <row r="10" spans="1:45" ht="50.1" customHeight="1">
      <c r="A10" s="486"/>
      <c r="B10" s="487"/>
      <c r="C10" s="499"/>
      <c r="D10" s="489"/>
      <c r="E10" s="490"/>
      <c r="F10" s="500"/>
      <c r="G10" s="501"/>
      <c r="H10" s="186"/>
      <c r="I10" s="186"/>
      <c r="J10" s="229" t="str">
        <f t="shared" si="12"/>
        <v/>
      </c>
      <c r="K10" s="186"/>
      <c r="L10" s="492"/>
      <c r="M10" s="493">
        <f t="shared" si="2"/>
        <v>0</v>
      </c>
      <c r="N10" s="494"/>
      <c r="O10" s="495"/>
      <c r="P10" s="496">
        <f t="shared" si="3"/>
        <v>0</v>
      </c>
      <c r="Q10" s="187" t="str">
        <f t="shared" si="13"/>
        <v>X</v>
      </c>
      <c r="R10" s="187"/>
      <c r="S10" s="187"/>
      <c r="T10" s="497"/>
      <c r="U10" s="188"/>
      <c r="W10" s="188"/>
      <c r="X10" s="186">
        <f t="shared" si="4"/>
        <v>0</v>
      </c>
      <c r="Y10" s="186">
        <f t="shared" si="5"/>
        <v>0</v>
      </c>
      <c r="Z10" s="188" t="str">
        <f t="shared" si="6"/>
        <v>OK</v>
      </c>
      <c r="AB10" s="188"/>
      <c r="AC10" s="186">
        <f t="shared" si="7"/>
        <v>0</v>
      </c>
      <c r="AD10" s="186">
        <f t="shared" si="8"/>
        <v>0</v>
      </c>
      <c r="AE10" s="188" t="str">
        <f t="shared" si="9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IF(C10="","",INDEX([1]구분표!$I$2:$I$311, MATCH(1,([1]구분표!$E$2:$E$311='071추일입'!B10)*([1]구분표!$F$2:$F$311='071추일입'!C10)*([1]구분표!$G$2:$G$311='071추일입'!A10),0)))</f>
        <v/>
      </c>
      <c r="AK10" s="188"/>
      <c r="AM10" s="186">
        <f>IF(AG10="",0,SUMIFS('071추일출'!$Z$6:$Z$18,'071추일출'!$AI$6:$AI$18,'071추일입'!$AG10))</f>
        <v>0</v>
      </c>
      <c r="AN10" s="186" t="str">
        <f>IF(AG10="","",COUNTIFS('071추일출'!$AI$6:$AI$18,'071추일입'!AG10))</f>
        <v/>
      </c>
      <c r="AO10" s="188" t="str">
        <f t="shared" si="10"/>
        <v>OK</v>
      </c>
      <c r="AQ10" s="186">
        <f>IF(AG10="",0,SUMIFS('071추일출'!$AE$6:$AE$18,'071추일출'!$AI$6:$AI$18,'071추일입'!$AG10))</f>
        <v>0</v>
      </c>
      <c r="AR10" s="186" t="str">
        <f>IF(AG10="","",COUNTIFS('071추일출'!$AI$6:$AI$18,AG10))</f>
        <v/>
      </c>
      <c r="AS10" s="188" t="str">
        <f t="shared" si="11"/>
        <v>OK</v>
      </c>
    </row>
    <row r="11" spans="1:45" ht="50.1" customHeight="1">
      <c r="A11" s="486"/>
      <c r="B11" s="487"/>
      <c r="C11" s="499"/>
      <c r="D11" s="489"/>
      <c r="E11" s="490"/>
      <c r="F11" s="500"/>
      <c r="G11" s="501"/>
      <c r="H11" s="186"/>
      <c r="I11" s="186"/>
      <c r="J11" s="229" t="str">
        <f t="shared" si="12"/>
        <v/>
      </c>
      <c r="K11" s="186"/>
      <c r="L11" s="492"/>
      <c r="M11" s="493">
        <f t="shared" si="2"/>
        <v>0</v>
      </c>
      <c r="N11" s="494"/>
      <c r="O11" s="495"/>
      <c r="P11" s="496">
        <f t="shared" si="3"/>
        <v>0</v>
      </c>
      <c r="Q11" s="187" t="str">
        <f t="shared" si="13"/>
        <v>X</v>
      </c>
      <c r="R11" s="187"/>
      <c r="S11" s="187"/>
      <c r="T11" s="497"/>
      <c r="U11" s="188"/>
      <c r="W11" s="188"/>
      <c r="X11" s="186">
        <f t="shared" si="4"/>
        <v>0</v>
      </c>
      <c r="Y11" s="186">
        <f t="shared" si="5"/>
        <v>0</v>
      </c>
      <c r="Z11" s="188" t="str">
        <f t="shared" si="6"/>
        <v>OK</v>
      </c>
      <c r="AB11" s="188"/>
      <c r="AC11" s="186">
        <f t="shared" si="7"/>
        <v>0</v>
      </c>
      <c r="AD11" s="186">
        <f t="shared" si="8"/>
        <v>0</v>
      </c>
      <c r="AE11" s="188" t="str">
        <f t="shared" si="9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IF(C11="","",INDEX([1]구분표!$I$2:$I$311, MATCH(1,([1]구분표!$E$2:$E$311='071추일입'!B11)*([1]구분표!$F$2:$F$311='071추일입'!C11)*([1]구분표!$G$2:$G$311='071추일입'!A11),0)))</f>
        <v/>
      </c>
      <c r="AK11" s="188"/>
      <c r="AM11" s="186">
        <f>IF(AG11="",0,SUMIFS('071추일출'!$Z$6:$Z$18,'071추일출'!$AI$6:$AI$18,'071추일입'!$AG11))</f>
        <v>0</v>
      </c>
      <c r="AN11" s="186" t="str">
        <f>IF(AG11="","",COUNTIFS('071추일출'!$AI$6:$AI$18,'071추일입'!AG11))</f>
        <v/>
      </c>
      <c r="AO11" s="188" t="str">
        <f t="shared" si="10"/>
        <v>OK</v>
      </c>
      <c r="AQ11" s="186">
        <f>IF(AG11="",0,SUMIFS('071추일출'!$AE$6:$AE$18,'071추일출'!$AI$6:$AI$18,'071추일입'!$AG11))</f>
        <v>0</v>
      </c>
      <c r="AR11" s="186" t="str">
        <f>IF(AG11="","",COUNTIFS('071추일출'!$AI$6:$AI$18,AG11))</f>
        <v/>
      </c>
      <c r="AS11" s="188" t="str">
        <f t="shared" si="11"/>
        <v>OK</v>
      </c>
    </row>
    <row r="12" spans="1:45" ht="50.1" customHeight="1">
      <c r="A12" s="486"/>
      <c r="B12" s="487"/>
      <c r="C12" s="499"/>
      <c r="D12" s="489"/>
      <c r="E12" s="490"/>
      <c r="F12" s="500"/>
      <c r="G12" s="501"/>
      <c r="H12" s="186"/>
      <c r="I12" s="186"/>
      <c r="J12" s="229" t="str">
        <f t="shared" si="12"/>
        <v/>
      </c>
      <c r="K12" s="186"/>
      <c r="L12" s="492"/>
      <c r="M12" s="493">
        <f t="shared" si="2"/>
        <v>0</v>
      </c>
      <c r="N12" s="494"/>
      <c r="O12" s="495"/>
      <c r="P12" s="496">
        <f t="shared" si="3"/>
        <v>0</v>
      </c>
      <c r="Q12" s="187" t="str">
        <f t="shared" si="13"/>
        <v>X</v>
      </c>
      <c r="R12" s="187"/>
      <c r="S12" s="187"/>
      <c r="T12" s="497"/>
      <c r="U12" s="188"/>
      <c r="W12" s="188"/>
      <c r="X12" s="186">
        <f t="shared" si="4"/>
        <v>0</v>
      </c>
      <c r="Y12" s="186">
        <f t="shared" si="5"/>
        <v>0</v>
      </c>
      <c r="Z12" s="188" t="str">
        <f t="shared" si="6"/>
        <v>OK</v>
      </c>
      <c r="AB12" s="188"/>
      <c r="AC12" s="186">
        <f t="shared" si="7"/>
        <v>0</v>
      </c>
      <c r="AD12" s="186">
        <f t="shared" si="8"/>
        <v>0</v>
      </c>
      <c r="AE12" s="188" t="str">
        <f t="shared" si="9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IF(C12="","",INDEX([1]구분표!$I$2:$I$311, MATCH(1,([1]구분표!$E$2:$E$311='071추일입'!B12)*([1]구분표!$F$2:$F$311='071추일입'!C12)*([1]구분표!$G$2:$G$311='071추일입'!A12),0)))</f>
        <v/>
      </c>
      <c r="AK12" s="188"/>
      <c r="AM12" s="186">
        <f>IF(AG12="",0,SUMIFS('071추일출'!$Z$6:$Z$18,'071추일출'!$AI$6:$AI$18,'071추일입'!$AG12))</f>
        <v>0</v>
      </c>
      <c r="AN12" s="186" t="str">
        <f>IF(AG12="","",COUNTIFS('071추일출'!$AI$6:$AI$18,'071추일입'!AG12))</f>
        <v/>
      </c>
      <c r="AO12" s="188" t="str">
        <f t="shared" si="10"/>
        <v>OK</v>
      </c>
      <c r="AQ12" s="186">
        <f>IF(AG12="",0,SUMIFS('071추일출'!$AE$6:$AE$18,'071추일출'!$AI$6:$AI$18,'071추일입'!$AG12))</f>
        <v>0</v>
      </c>
      <c r="AR12" s="186" t="str">
        <f>IF(AG12="","",COUNTIFS('071추일출'!$AI$6:$AI$18,AG12))</f>
        <v/>
      </c>
      <c r="AS12" s="188" t="str">
        <f t="shared" si="11"/>
        <v>OK</v>
      </c>
    </row>
    <row r="13" spans="1:45" ht="50.1" customHeight="1">
      <c r="A13" s="486"/>
      <c r="B13" s="487"/>
      <c r="C13" s="499"/>
      <c r="D13" s="489"/>
      <c r="E13" s="490"/>
      <c r="F13" s="500"/>
      <c r="G13" s="501"/>
      <c r="H13" s="186"/>
      <c r="I13" s="186"/>
      <c r="J13" s="229" t="str">
        <f t="shared" si="12"/>
        <v/>
      </c>
      <c r="K13" s="186"/>
      <c r="L13" s="492"/>
      <c r="M13" s="493">
        <f t="shared" si="2"/>
        <v>0</v>
      </c>
      <c r="N13" s="494"/>
      <c r="O13" s="495"/>
      <c r="P13" s="496">
        <f t="shared" si="3"/>
        <v>0</v>
      </c>
      <c r="Q13" s="187" t="str">
        <f t="shared" si="13"/>
        <v>X</v>
      </c>
      <c r="R13" s="187"/>
      <c r="S13" s="187"/>
      <c r="T13" s="497"/>
      <c r="U13" s="188"/>
      <c r="W13" s="188"/>
      <c r="X13" s="186">
        <f t="shared" si="4"/>
        <v>0</v>
      </c>
      <c r="Y13" s="186">
        <f t="shared" si="5"/>
        <v>0</v>
      </c>
      <c r="Z13" s="188" t="str">
        <f t="shared" si="6"/>
        <v>OK</v>
      </c>
      <c r="AB13" s="188"/>
      <c r="AC13" s="186">
        <f t="shared" si="7"/>
        <v>0</v>
      </c>
      <c r="AD13" s="186">
        <f t="shared" si="8"/>
        <v>0</v>
      </c>
      <c r="AE13" s="188" t="str">
        <f t="shared" si="9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IF(C13="","",INDEX([1]구분표!$I$2:$I$311, MATCH(1,([1]구분표!$E$2:$E$311='071추일입'!B13)*([1]구분표!$F$2:$F$311='071추일입'!C13)*([1]구분표!$G$2:$G$311='071추일입'!A13),0)))</f>
        <v/>
      </c>
      <c r="AK13" s="188"/>
      <c r="AM13" s="186">
        <f>IF(AG13="",0,SUMIFS('071추일출'!$Z$6:$Z$18,'071추일출'!$AI$6:$AI$18,'071추일입'!$AG13))</f>
        <v>0</v>
      </c>
      <c r="AN13" s="186" t="str">
        <f>IF(AG13="","",COUNTIFS('071추일출'!$AI$6:$AI$18,'071추일입'!AG13))</f>
        <v/>
      </c>
      <c r="AO13" s="188" t="str">
        <f t="shared" si="10"/>
        <v>OK</v>
      </c>
      <c r="AQ13" s="186">
        <f>IF(AG13="",0,SUMIFS('071추일출'!$AE$6:$AE$18,'071추일출'!$AI$6:$AI$18,'071추일입'!$AG13))</f>
        <v>0</v>
      </c>
      <c r="AR13" s="186" t="str">
        <f>IF(AG13="","",COUNTIFS('071추일출'!$AI$6:$AI$18,AG13))</f>
        <v/>
      </c>
      <c r="AS13" s="188" t="str">
        <f t="shared" si="11"/>
        <v>OK</v>
      </c>
    </row>
    <row r="14" spans="1:45" ht="50.1" customHeight="1">
      <c r="A14" s="486"/>
      <c r="B14" s="487"/>
      <c r="C14" s="488"/>
      <c r="D14" s="489"/>
      <c r="E14" s="490"/>
      <c r="F14" s="500"/>
      <c r="G14" s="501"/>
      <c r="H14" s="186"/>
      <c r="I14" s="186"/>
      <c r="J14" s="229" t="str">
        <f t="shared" si="12"/>
        <v/>
      </c>
      <c r="K14" s="186"/>
      <c r="L14" s="492"/>
      <c r="M14" s="493">
        <f t="shared" si="2"/>
        <v>0</v>
      </c>
      <c r="N14" s="494"/>
      <c r="O14" s="495"/>
      <c r="P14" s="496">
        <f t="shared" si="3"/>
        <v>0</v>
      </c>
      <c r="Q14" s="187" t="str">
        <f t="shared" si="13"/>
        <v>X</v>
      </c>
      <c r="R14" s="187"/>
      <c r="S14" s="187"/>
      <c r="T14" s="497"/>
      <c r="U14" s="188"/>
      <c r="W14" s="188"/>
      <c r="X14" s="186">
        <f t="shared" si="4"/>
        <v>0</v>
      </c>
      <c r="Y14" s="186">
        <f t="shared" si="5"/>
        <v>0</v>
      </c>
      <c r="Z14" s="188" t="str">
        <f t="shared" si="6"/>
        <v>OK</v>
      </c>
      <c r="AB14" s="188"/>
      <c r="AC14" s="186">
        <f t="shared" si="7"/>
        <v>0</v>
      </c>
      <c r="AD14" s="186">
        <f t="shared" si="8"/>
        <v>0</v>
      </c>
      <c r="AE14" s="188" t="str">
        <f t="shared" si="9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IF(C14="","",INDEX([1]구분표!$I$2:$I$311, MATCH(1,([1]구분표!$E$2:$E$311='071추일입'!B14)*([1]구분표!$F$2:$F$311='071추일입'!C14)*([1]구분표!$G$2:$G$311='071추일입'!A14),0)))</f>
        <v/>
      </c>
      <c r="AK14" s="188"/>
      <c r="AM14" s="186">
        <f>IF(AG14="",0,SUMIFS('071추일출'!$Z$6:$Z$18,'071추일출'!$AI$6:$AI$18,'071추일입'!$AG14))</f>
        <v>0</v>
      </c>
      <c r="AN14" s="186" t="str">
        <f>IF(AG14="","",COUNTIFS('071추일출'!$AI$6:$AI$18,'071추일입'!AG14))</f>
        <v/>
      </c>
      <c r="AO14" s="188" t="str">
        <f t="shared" si="10"/>
        <v>OK</v>
      </c>
      <c r="AQ14" s="186">
        <f>IF(AG14="",0,SUMIFS('071추일출'!$AE$6:$AE$18,'071추일출'!$AI$6:$AI$18,'071추일입'!$AG14))</f>
        <v>0</v>
      </c>
      <c r="AR14" s="186" t="str">
        <f>IF(AG14="","",COUNTIFS('071추일출'!$AI$6:$AI$18,AG14))</f>
        <v/>
      </c>
      <c r="AS14" s="188" t="str">
        <f t="shared" si="11"/>
        <v>OK</v>
      </c>
    </row>
    <row r="15" spans="1:45" ht="50.1" customHeight="1">
      <c r="A15" s="486"/>
      <c r="B15" s="487"/>
      <c r="C15" s="488"/>
      <c r="D15" s="489"/>
      <c r="E15" s="490"/>
      <c r="F15" s="489"/>
      <c r="G15" s="501"/>
      <c r="H15" s="186"/>
      <c r="I15" s="186"/>
      <c r="J15" s="229" t="str">
        <f t="shared" si="12"/>
        <v/>
      </c>
      <c r="K15" s="186"/>
      <c r="L15" s="492"/>
      <c r="M15" s="493">
        <f t="shared" si="2"/>
        <v>0</v>
      </c>
      <c r="N15" s="494"/>
      <c r="O15" s="495"/>
      <c r="P15" s="496">
        <f t="shared" si="3"/>
        <v>0</v>
      </c>
      <c r="Q15" s="187" t="str">
        <f t="shared" si="13"/>
        <v>X</v>
      </c>
      <c r="R15" s="187"/>
      <c r="S15" s="187"/>
      <c r="T15" s="497"/>
      <c r="U15" s="188"/>
      <c r="W15" s="188"/>
      <c r="X15" s="186">
        <f t="shared" si="4"/>
        <v>0</v>
      </c>
      <c r="Y15" s="186">
        <f t="shared" si="5"/>
        <v>0</v>
      </c>
      <c r="Z15" s="188" t="str">
        <f t="shared" si="6"/>
        <v>OK</v>
      </c>
      <c r="AB15" s="188"/>
      <c r="AC15" s="186">
        <f t="shared" si="7"/>
        <v>0</v>
      </c>
      <c r="AD15" s="186">
        <f t="shared" si="8"/>
        <v>0</v>
      </c>
      <c r="AE15" s="188" t="str">
        <f t="shared" si="9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IF(C15="","",INDEX([1]구분표!$I$2:$I$311, MATCH(1,([1]구분표!$E$2:$E$311='071추일입'!B15)*([1]구분표!$F$2:$F$311='071추일입'!C15)*([1]구분표!$G$2:$G$311='071추일입'!A15),0)))</f>
        <v/>
      </c>
      <c r="AK15" s="188"/>
      <c r="AM15" s="186">
        <f>IF(AG15="",0,SUMIFS('071추일출'!$Z$6:$Z$18,'071추일출'!$AI$6:$AI$18,'071추일입'!$AG15))</f>
        <v>0</v>
      </c>
      <c r="AN15" s="186" t="str">
        <f>IF(AG15="","",COUNTIFS('071추일출'!$AI$6:$AI$18,'071추일입'!AG15))</f>
        <v/>
      </c>
      <c r="AO15" s="188" t="str">
        <f t="shared" si="10"/>
        <v>OK</v>
      </c>
      <c r="AQ15" s="186">
        <f>IF(AG15="",0,SUMIFS('071추일출'!$AE$6:$AE$18,'071추일출'!$AI$6:$AI$18,'071추일입'!$AG15))</f>
        <v>0</v>
      </c>
      <c r="AR15" s="186" t="str">
        <f>IF(AG15="","",COUNTIFS('071추일출'!$AI$6:$AI$18,AG15))</f>
        <v/>
      </c>
      <c r="AS15" s="188" t="str">
        <f t="shared" si="11"/>
        <v>OK</v>
      </c>
    </row>
    <row r="16" spans="1:45" ht="50.1" customHeight="1">
      <c r="A16" s="486"/>
      <c r="B16" s="487"/>
      <c r="C16" s="488"/>
      <c r="D16" s="489"/>
      <c r="E16" s="490"/>
      <c r="F16" s="489"/>
      <c r="G16" s="501"/>
      <c r="H16" s="186"/>
      <c r="I16" s="186"/>
      <c r="J16" s="229" t="str">
        <f t="shared" si="12"/>
        <v/>
      </c>
      <c r="K16" s="186"/>
      <c r="L16" s="492"/>
      <c r="M16" s="493">
        <f t="shared" si="2"/>
        <v>0</v>
      </c>
      <c r="N16" s="494"/>
      <c r="O16" s="495"/>
      <c r="P16" s="496">
        <f t="shared" si="3"/>
        <v>0</v>
      </c>
      <c r="Q16" s="187" t="str">
        <f t="shared" si="13"/>
        <v>X</v>
      </c>
      <c r="R16" s="187"/>
      <c r="S16" s="187"/>
      <c r="T16" s="497"/>
      <c r="U16" s="188"/>
      <c r="W16" s="188"/>
      <c r="X16" s="186">
        <f t="shared" si="4"/>
        <v>0</v>
      </c>
      <c r="Y16" s="186">
        <f t="shared" si="5"/>
        <v>0</v>
      </c>
      <c r="Z16" s="188" t="str">
        <f t="shared" si="6"/>
        <v>OK</v>
      </c>
      <c r="AB16" s="188"/>
      <c r="AC16" s="186">
        <f t="shared" si="7"/>
        <v>0</v>
      </c>
      <c r="AD16" s="186">
        <f t="shared" si="8"/>
        <v>0</v>
      </c>
      <c r="AE16" s="188" t="str">
        <f t="shared" si="9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IF(C16="","",INDEX([1]구분표!$I$2:$I$311, MATCH(1,([1]구분표!$E$2:$E$311='071추일입'!B16)*([1]구분표!$F$2:$F$311='071추일입'!C16)*([1]구분표!$G$2:$G$311='071추일입'!A16),0)))</f>
        <v/>
      </c>
      <c r="AK16" s="188"/>
      <c r="AM16" s="186">
        <f>IF(AG16="",0,SUMIFS('071추일출'!$Z$6:$Z$18,'071추일출'!$AI$6:$AI$18,'071추일입'!$AG16))</f>
        <v>0</v>
      </c>
      <c r="AN16" s="186" t="str">
        <f>IF(AG16="","",COUNTIFS('071추일출'!$AI$6:$AI$18,'071추일입'!AG16))</f>
        <v/>
      </c>
      <c r="AO16" s="188" t="str">
        <f t="shared" si="10"/>
        <v>OK</v>
      </c>
      <c r="AQ16" s="186">
        <f>IF(AG16="",0,SUMIFS('071추일출'!$AE$6:$AE$18,'071추일출'!$AI$6:$AI$18,'071추일입'!$AG16))</f>
        <v>0</v>
      </c>
      <c r="AR16" s="186" t="str">
        <f>IF(AG16="","",COUNTIFS('071추일출'!$AI$6:$AI$18,AG16))</f>
        <v/>
      </c>
      <c r="AS16" s="188" t="str">
        <f t="shared" si="11"/>
        <v>OK</v>
      </c>
    </row>
    <row r="17" spans="1:45" ht="50.1" customHeight="1">
      <c r="A17" s="486"/>
      <c r="B17" s="487"/>
      <c r="C17" s="488"/>
      <c r="D17" s="489"/>
      <c r="E17" s="490"/>
      <c r="F17" s="489"/>
      <c r="G17" s="501"/>
      <c r="H17" s="186"/>
      <c r="I17" s="186"/>
      <c r="J17" s="229" t="str">
        <f t="shared" si="12"/>
        <v/>
      </c>
      <c r="K17" s="186"/>
      <c r="L17" s="492"/>
      <c r="M17" s="493">
        <f t="shared" si="2"/>
        <v>0</v>
      </c>
      <c r="N17" s="494"/>
      <c r="O17" s="495"/>
      <c r="P17" s="496">
        <f t="shared" si="3"/>
        <v>0</v>
      </c>
      <c r="Q17" s="187" t="str">
        <f t="shared" si="13"/>
        <v>X</v>
      </c>
      <c r="R17" s="187"/>
      <c r="S17" s="187"/>
      <c r="T17" s="497"/>
      <c r="U17" s="188"/>
      <c r="W17" s="188"/>
      <c r="X17" s="186">
        <f t="shared" si="4"/>
        <v>0</v>
      </c>
      <c r="Y17" s="186">
        <f t="shared" si="5"/>
        <v>0</v>
      </c>
      <c r="Z17" s="188" t="str">
        <f t="shared" si="6"/>
        <v>OK</v>
      </c>
      <c r="AB17" s="188"/>
      <c r="AC17" s="186">
        <f t="shared" si="7"/>
        <v>0</v>
      </c>
      <c r="AD17" s="186">
        <f t="shared" si="8"/>
        <v>0</v>
      </c>
      <c r="AE17" s="188" t="str">
        <f t="shared" si="9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IF(C17="","",INDEX([1]구분표!$I$2:$I$311, MATCH(1,([1]구분표!$E$2:$E$311='071추일입'!B17)*([1]구분표!$F$2:$F$311='071추일입'!C17)*([1]구분표!$G$2:$G$311='071추일입'!A17),0)))</f>
        <v/>
      </c>
      <c r="AK17" s="188"/>
      <c r="AM17" s="186">
        <f>IF(AG17="",0,SUMIFS('071추일출'!$Z$6:$Z$18,'071추일출'!$AI$6:$AI$18,'071추일입'!$AG17))</f>
        <v>0</v>
      </c>
      <c r="AN17" s="186" t="str">
        <f>IF(AG17="","",COUNTIFS('071추일출'!$AI$6:$AI$18,'071추일입'!AG17))</f>
        <v/>
      </c>
      <c r="AO17" s="188" t="str">
        <f t="shared" si="10"/>
        <v>OK</v>
      </c>
      <c r="AQ17" s="186">
        <f>IF(AG17="",0,SUMIFS('071추일출'!$AE$6:$AE$18,'071추일출'!$AI$6:$AI$18,'071추일입'!$AG17))</f>
        <v>0</v>
      </c>
      <c r="AR17" s="186" t="str">
        <f>IF(AG17="","",COUNTIFS('071추일출'!$AI$6:$AI$18,AG17))</f>
        <v/>
      </c>
      <c r="AS17" s="188" t="str">
        <f t="shared" si="11"/>
        <v>OK</v>
      </c>
    </row>
    <row r="18" spans="1:45" ht="50.1" customHeight="1">
      <c r="A18" s="486"/>
      <c r="B18" s="487"/>
      <c r="C18" s="488"/>
      <c r="D18" s="489"/>
      <c r="E18" s="490"/>
      <c r="F18" s="489"/>
      <c r="G18" s="501"/>
      <c r="H18" s="186"/>
      <c r="I18" s="186"/>
      <c r="J18" s="229" t="str">
        <f t="shared" si="12"/>
        <v/>
      </c>
      <c r="K18" s="186"/>
      <c r="L18" s="492"/>
      <c r="M18" s="493">
        <f t="shared" si="2"/>
        <v>0</v>
      </c>
      <c r="N18" s="494"/>
      <c r="O18" s="495"/>
      <c r="P18" s="496">
        <f t="shared" si="3"/>
        <v>0</v>
      </c>
      <c r="Q18" s="187" t="str">
        <f t="shared" si="13"/>
        <v>X</v>
      </c>
      <c r="R18" s="187"/>
      <c r="S18" s="187"/>
      <c r="T18" s="497"/>
      <c r="U18" s="188"/>
      <c r="W18" s="188"/>
      <c r="X18" s="186">
        <f t="shared" si="4"/>
        <v>0</v>
      </c>
      <c r="Y18" s="186">
        <f t="shared" si="5"/>
        <v>0</v>
      </c>
      <c r="Z18" s="188" t="str">
        <f t="shared" si="6"/>
        <v>OK</v>
      </c>
      <c r="AB18" s="188"/>
      <c r="AC18" s="186">
        <f t="shared" si="7"/>
        <v>0</v>
      </c>
      <c r="AD18" s="186">
        <f t="shared" si="8"/>
        <v>0</v>
      </c>
      <c r="AE18" s="188" t="str">
        <f t="shared" si="9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IF(C18="","",INDEX([1]구분표!$I$2:$I$311, MATCH(1,([1]구분표!$E$2:$E$311='071추일입'!B18)*([1]구분표!$F$2:$F$311='071추일입'!C18)*([1]구분표!$G$2:$G$311='071추일입'!A18),0)))</f>
        <v/>
      </c>
      <c r="AK18" s="188"/>
      <c r="AM18" s="186">
        <f>IF(AG18="",0,SUMIFS('071추일출'!$Z$6:$Z$18,'071추일출'!$AI$6:$AI$18,'071추일입'!$AG18))</f>
        <v>0</v>
      </c>
      <c r="AN18" s="186" t="str">
        <f>IF(AG18="","",COUNTIFS('071추일출'!$AI$6:$AI$18,'071추일입'!AG18))</f>
        <v/>
      </c>
      <c r="AO18" s="188" t="str">
        <f t="shared" si="10"/>
        <v>OK</v>
      </c>
      <c r="AQ18" s="186">
        <f>IF(AG18="",0,SUMIFS('071추일출'!$AE$6:$AE$18,'071추일출'!$AI$6:$AI$18,'071추일입'!$AG18))</f>
        <v>0</v>
      </c>
      <c r="AR18" s="186" t="str">
        <f>IF(AG18="","",COUNTIFS('071추일출'!$AI$6:$AI$18,AG18))</f>
        <v/>
      </c>
      <c r="AS18" s="188" t="str">
        <f t="shared" si="11"/>
        <v>OK</v>
      </c>
    </row>
    <row r="19" spans="1:45" ht="50.1" customHeight="1">
      <c r="A19" s="486"/>
      <c r="B19" s="487"/>
      <c r="C19" s="488"/>
      <c r="D19" s="489"/>
      <c r="E19" s="490"/>
      <c r="F19" s="489"/>
      <c r="G19" s="501"/>
      <c r="H19" s="186"/>
      <c r="I19" s="186"/>
      <c r="J19" s="229" t="str">
        <f t="shared" si="12"/>
        <v/>
      </c>
      <c r="K19" s="186"/>
      <c r="L19" s="492"/>
      <c r="M19" s="493">
        <f t="shared" si="2"/>
        <v>0</v>
      </c>
      <c r="N19" s="494"/>
      <c r="O19" s="495"/>
      <c r="P19" s="496">
        <f t="shared" si="3"/>
        <v>0</v>
      </c>
      <c r="Q19" s="187" t="str">
        <f t="shared" si="13"/>
        <v>X</v>
      </c>
      <c r="R19" s="187"/>
      <c r="S19" s="187"/>
      <c r="T19" s="497"/>
      <c r="U19" s="188"/>
      <c r="W19" s="188"/>
      <c r="X19" s="186">
        <f t="shared" si="4"/>
        <v>0</v>
      </c>
      <c r="Y19" s="186">
        <f t="shared" si="5"/>
        <v>0</v>
      </c>
      <c r="Z19" s="188" t="str">
        <f t="shared" si="6"/>
        <v>OK</v>
      </c>
      <c r="AB19" s="188"/>
      <c r="AC19" s="186">
        <f t="shared" si="7"/>
        <v>0</v>
      </c>
      <c r="AD19" s="186">
        <f t="shared" si="8"/>
        <v>0</v>
      </c>
      <c r="AE19" s="188" t="str">
        <f t="shared" si="9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IF(C19="","",INDEX([1]구분표!$I$2:$I$311, MATCH(1,([1]구분표!$E$2:$E$311='071추일입'!B19)*([1]구분표!$F$2:$F$311='071추일입'!C19)*([1]구분표!$G$2:$G$311='071추일입'!A19),0)))</f>
        <v/>
      </c>
      <c r="AK19" s="188"/>
      <c r="AM19" s="186">
        <f>IF(AG19="",0,SUMIFS('071추일출'!$Z$6:$Z$18,'071추일출'!$AI$6:$AI$18,'071추일입'!$AG19))</f>
        <v>0</v>
      </c>
      <c r="AN19" s="186" t="str">
        <f>IF(AG19="","",COUNTIFS('071추일출'!$AI$6:$AI$18,'071추일입'!AG19))</f>
        <v/>
      </c>
      <c r="AO19" s="188" t="str">
        <f t="shared" si="10"/>
        <v>OK</v>
      </c>
      <c r="AQ19" s="186">
        <f>IF(AG19="",0,SUMIFS('071추일출'!$AE$6:$AE$18,'071추일출'!$AI$6:$AI$18,'071추일입'!$AG19))</f>
        <v>0</v>
      </c>
      <c r="AR19" s="186" t="str">
        <f>IF(AG19="","",COUNTIFS('071추일출'!$AI$6:$AI$18,AG19))</f>
        <v/>
      </c>
      <c r="AS19" s="188" t="str">
        <f t="shared" si="11"/>
        <v>OK</v>
      </c>
    </row>
    <row r="20" spans="1:45" ht="50.1" customHeight="1">
      <c r="A20" s="486"/>
      <c r="B20" s="487"/>
      <c r="C20" s="488"/>
      <c r="D20" s="489"/>
      <c r="E20" s="490"/>
      <c r="F20" s="489"/>
      <c r="G20" s="501"/>
      <c r="H20" s="186"/>
      <c r="I20" s="186"/>
      <c r="J20" s="229" t="str">
        <f t="shared" si="12"/>
        <v/>
      </c>
      <c r="K20" s="186"/>
      <c r="L20" s="492"/>
      <c r="M20" s="493">
        <f t="shared" si="2"/>
        <v>0</v>
      </c>
      <c r="N20" s="494"/>
      <c r="O20" s="495"/>
      <c r="P20" s="496">
        <f t="shared" si="3"/>
        <v>0</v>
      </c>
      <c r="Q20" s="187" t="str">
        <f t="shared" si="13"/>
        <v>X</v>
      </c>
      <c r="R20" s="187"/>
      <c r="S20" s="187"/>
      <c r="T20" s="497"/>
      <c r="U20" s="188"/>
      <c r="W20" s="188"/>
      <c r="X20" s="186">
        <f t="shared" si="4"/>
        <v>0</v>
      </c>
      <c r="Y20" s="186">
        <f t="shared" si="5"/>
        <v>0</v>
      </c>
      <c r="Z20" s="188" t="str">
        <f t="shared" si="6"/>
        <v>OK</v>
      </c>
      <c r="AB20" s="188"/>
      <c r="AC20" s="186">
        <f t="shared" si="7"/>
        <v>0</v>
      </c>
      <c r="AD20" s="186">
        <f t="shared" si="8"/>
        <v>0</v>
      </c>
      <c r="AE20" s="188" t="str">
        <f t="shared" si="9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IF(C20="","",INDEX([1]구분표!$I$2:$I$311, MATCH(1,([1]구분표!$E$2:$E$311='071추일입'!B20)*([1]구분표!$F$2:$F$311='071추일입'!C20)*([1]구분표!$G$2:$G$311='071추일입'!A20),0)))</f>
        <v/>
      </c>
      <c r="AK20" s="188"/>
      <c r="AM20" s="186">
        <f>IF(AG20="",0,SUMIFS('071추일출'!$Z$6:$Z$18,'071추일출'!$AI$6:$AI$18,'071추일입'!$AG20))</f>
        <v>0</v>
      </c>
      <c r="AN20" s="186" t="str">
        <f>IF(AG20="","",COUNTIFS('071추일출'!$AI$6:$AI$18,'071추일입'!AG20))</f>
        <v/>
      </c>
      <c r="AO20" s="188" t="str">
        <f t="shared" si="10"/>
        <v>OK</v>
      </c>
      <c r="AQ20" s="186">
        <f>IF(AG20="",0,SUMIFS('071추일출'!$AE$6:$AE$18,'071추일출'!$AI$6:$AI$18,'071추일입'!$AG20))</f>
        <v>0</v>
      </c>
      <c r="AR20" s="186" t="str">
        <f>IF(AG20="","",COUNTIFS('071추일출'!$AI$6:$AI$18,AG20))</f>
        <v/>
      </c>
      <c r="AS20" s="188" t="str">
        <f t="shared" si="11"/>
        <v>OK</v>
      </c>
    </row>
    <row r="21" spans="1:45" ht="50.1" customHeight="1">
      <c r="A21" s="486"/>
      <c r="B21" s="487"/>
      <c r="C21" s="488"/>
      <c r="D21" s="489"/>
      <c r="E21" s="490"/>
      <c r="F21" s="489"/>
      <c r="G21" s="501"/>
      <c r="H21" s="186"/>
      <c r="I21" s="186"/>
      <c r="J21" s="229" t="str">
        <f t="shared" si="12"/>
        <v/>
      </c>
      <c r="K21" s="186"/>
      <c r="L21" s="492"/>
      <c r="M21" s="493">
        <f t="shared" si="2"/>
        <v>0</v>
      </c>
      <c r="N21" s="494"/>
      <c r="O21" s="495"/>
      <c r="P21" s="496">
        <f t="shared" si="3"/>
        <v>0</v>
      </c>
      <c r="Q21" s="187" t="str">
        <f t="shared" si="13"/>
        <v>X</v>
      </c>
      <c r="R21" s="187"/>
      <c r="S21" s="187"/>
      <c r="T21" s="497"/>
      <c r="U21" s="188"/>
      <c r="W21" s="188"/>
      <c r="X21" s="186">
        <f t="shared" si="4"/>
        <v>0</v>
      </c>
      <c r="Y21" s="186">
        <f t="shared" si="5"/>
        <v>0</v>
      </c>
      <c r="Z21" s="188" t="str">
        <f t="shared" si="6"/>
        <v>OK</v>
      </c>
      <c r="AB21" s="188"/>
      <c r="AC21" s="186">
        <f t="shared" si="7"/>
        <v>0</v>
      </c>
      <c r="AD21" s="186">
        <f t="shared" si="8"/>
        <v>0</v>
      </c>
      <c r="AE21" s="188" t="str">
        <f t="shared" si="9"/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IF(C21="","",INDEX([1]구분표!$I$2:$I$311, MATCH(1,([1]구분표!$E$2:$E$311='071추일입'!B21)*([1]구분표!$F$2:$F$311='071추일입'!C21)*([1]구분표!$G$2:$G$311='071추일입'!A21),0)))</f>
        <v/>
      </c>
      <c r="AK21" s="188"/>
      <c r="AM21" s="186">
        <f>IF(AG21="",0,SUMIFS('071추일출'!$Z$6:$Z$18,'071추일출'!$AI$6:$AI$18,'071추일입'!$AG21))</f>
        <v>0</v>
      </c>
      <c r="AN21" s="186" t="str">
        <f>IF(AG21="","",COUNTIFS('071추일출'!$AI$6:$AI$18,'071추일입'!AG21))</f>
        <v/>
      </c>
      <c r="AO21" s="188" t="str">
        <f t="shared" si="10"/>
        <v>OK</v>
      </c>
      <c r="AQ21" s="186">
        <f>IF(AG21="",0,SUMIFS('071추일출'!$AE$6:$AE$18,'071추일출'!$AI$6:$AI$18,'071추일입'!$AG21))</f>
        <v>0</v>
      </c>
      <c r="AR21" s="186" t="str">
        <f>IF(AG21="","",COUNTIFS('071추일출'!$AI$6:$AI$18,AG21))</f>
        <v/>
      </c>
      <c r="AS21" s="188" t="str">
        <f t="shared" si="11"/>
        <v>OK</v>
      </c>
    </row>
    <row r="22" spans="1:45" ht="50.1" customHeight="1">
      <c r="A22" s="486"/>
      <c r="B22" s="487"/>
      <c r="C22" s="488"/>
      <c r="D22" s="489"/>
      <c r="E22" s="490"/>
      <c r="F22" s="489"/>
      <c r="G22" s="501"/>
      <c r="H22" s="186"/>
      <c r="I22" s="186"/>
      <c r="J22" s="229" t="str">
        <f t="shared" si="12"/>
        <v/>
      </c>
      <c r="K22" s="186"/>
      <c r="L22" s="492"/>
      <c r="M22" s="493">
        <f t="shared" si="2"/>
        <v>0</v>
      </c>
      <c r="N22" s="494"/>
      <c r="O22" s="495"/>
      <c r="P22" s="496">
        <f t="shared" si="3"/>
        <v>0</v>
      </c>
      <c r="Q22" s="187" t="str">
        <f t="shared" si="13"/>
        <v>X</v>
      </c>
      <c r="R22" s="187"/>
      <c r="S22" s="187"/>
      <c r="T22" s="497"/>
      <c r="U22" s="188"/>
      <c r="W22" s="188"/>
      <c r="X22" s="186">
        <f t="shared" si="4"/>
        <v>0</v>
      </c>
      <c r="Y22" s="186">
        <f t="shared" si="5"/>
        <v>0</v>
      </c>
      <c r="Z22" s="188" t="str">
        <f t="shared" si="6"/>
        <v>OK</v>
      </c>
      <c r="AB22" s="188"/>
      <c r="AC22" s="186">
        <f t="shared" si="7"/>
        <v>0</v>
      </c>
      <c r="AD22" s="186">
        <f t="shared" si="8"/>
        <v>0</v>
      </c>
      <c r="AE22" s="188" t="str">
        <f t="shared" si="9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IF(C22="","",INDEX([1]구분표!$I$2:$I$311, MATCH(1,([1]구분표!$E$2:$E$311='071추일입'!B22)*([1]구분표!$F$2:$F$311='071추일입'!C22)*([1]구분표!$G$2:$G$311='071추일입'!A22),0)))</f>
        <v/>
      </c>
      <c r="AK22" s="188"/>
      <c r="AM22" s="186">
        <f>IF(AG22="",0,SUMIFS('071추일출'!$Z$6:$Z$18,'071추일출'!$AI$6:$AI$18,'071추일입'!$AG22))</f>
        <v>0</v>
      </c>
      <c r="AN22" s="186" t="str">
        <f>IF(AG22="","",COUNTIFS('071추일출'!$AI$6:$AI$18,'071추일입'!AG22))</f>
        <v/>
      </c>
      <c r="AO22" s="188" t="str">
        <f t="shared" si="10"/>
        <v>OK</v>
      </c>
      <c r="AQ22" s="186">
        <f>IF(AG22="",0,SUMIFS('071추일출'!$AE$6:$AE$18,'071추일출'!$AI$6:$AI$18,'071추일입'!$AG22))</f>
        <v>0</v>
      </c>
      <c r="AR22" s="186" t="str">
        <f>IF(AG22="","",COUNTIFS('071추일출'!$AI$6:$AI$18,AG22))</f>
        <v/>
      </c>
      <c r="AS22" s="188" t="str">
        <f t="shared" si="11"/>
        <v>OK</v>
      </c>
    </row>
    <row r="23" spans="1:45" ht="50.1" customHeight="1">
      <c r="A23" s="486"/>
      <c r="B23" s="487"/>
      <c r="C23" s="488"/>
      <c r="D23" s="489"/>
      <c r="E23" s="490"/>
      <c r="F23" s="489"/>
      <c r="G23" s="501"/>
      <c r="H23" s="186"/>
      <c r="I23" s="186"/>
      <c r="J23" s="229" t="str">
        <f t="shared" si="12"/>
        <v/>
      </c>
      <c r="K23" s="186"/>
      <c r="L23" s="492"/>
      <c r="M23" s="493">
        <f t="shared" si="2"/>
        <v>0</v>
      </c>
      <c r="N23" s="494"/>
      <c r="O23" s="495"/>
      <c r="P23" s="496">
        <f t="shared" si="3"/>
        <v>0</v>
      </c>
      <c r="Q23" s="187" t="str">
        <f t="shared" si="13"/>
        <v>X</v>
      </c>
      <c r="R23" s="187"/>
      <c r="S23" s="187"/>
      <c r="T23" s="497"/>
      <c r="U23" s="188"/>
      <c r="W23" s="188"/>
      <c r="X23" s="186">
        <f t="shared" si="4"/>
        <v>0</v>
      </c>
      <c r="Y23" s="186">
        <f t="shared" si="5"/>
        <v>0</v>
      </c>
      <c r="Z23" s="188" t="str">
        <f t="shared" si="6"/>
        <v>OK</v>
      </c>
      <c r="AB23" s="188"/>
      <c r="AC23" s="186">
        <f t="shared" si="7"/>
        <v>0</v>
      </c>
      <c r="AD23" s="186">
        <f t="shared" si="8"/>
        <v>0</v>
      </c>
      <c r="AE23" s="188" t="str">
        <f t="shared" si="9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IF(C23="","",INDEX([1]구분표!$I$2:$I$311, MATCH(1,([1]구분표!$E$2:$E$311='071추일입'!B23)*([1]구분표!$F$2:$F$311='071추일입'!C23)*([1]구분표!$G$2:$G$311='071추일입'!A23),0)))</f>
        <v/>
      </c>
      <c r="AK23" s="188"/>
      <c r="AM23" s="186">
        <f>IF(AG23="",0,SUMIFS('071추일출'!$Z$6:$Z$18,'071추일출'!$AI$6:$AI$18,'071추일입'!$AG23))</f>
        <v>0</v>
      </c>
      <c r="AN23" s="186" t="str">
        <f>IF(AG23="","",COUNTIFS('071추일출'!$AI$6:$AI$18,'071추일입'!AG23))</f>
        <v/>
      </c>
      <c r="AO23" s="188" t="str">
        <f t="shared" si="10"/>
        <v>OK</v>
      </c>
      <c r="AQ23" s="186">
        <f>IF(AG23="",0,SUMIFS('071추일출'!$AE$6:$AE$18,'071추일출'!$AI$6:$AI$18,'071추일입'!$AG23))</f>
        <v>0</v>
      </c>
      <c r="AR23" s="186" t="str">
        <f>IF(AG23="","",COUNTIFS('071추일출'!$AI$6:$AI$18,AG23))</f>
        <v/>
      </c>
      <c r="AS23" s="188" t="str">
        <f t="shared" si="11"/>
        <v>OK</v>
      </c>
    </row>
    <row r="24" spans="1:45" ht="50.1" customHeight="1">
      <c r="A24" s="486"/>
      <c r="B24" s="487"/>
      <c r="C24" s="488"/>
      <c r="D24" s="489"/>
      <c r="E24" s="490"/>
      <c r="F24" s="489"/>
      <c r="G24" s="501"/>
      <c r="H24" s="186"/>
      <c r="I24" s="186"/>
      <c r="J24" s="229" t="str">
        <f t="shared" si="12"/>
        <v/>
      </c>
      <c r="K24" s="186"/>
      <c r="L24" s="492"/>
      <c r="M24" s="493">
        <f t="shared" si="2"/>
        <v>0</v>
      </c>
      <c r="N24" s="494"/>
      <c r="O24" s="495"/>
      <c r="P24" s="496">
        <f t="shared" si="3"/>
        <v>0</v>
      </c>
      <c r="Q24" s="187" t="str">
        <f t="shared" si="13"/>
        <v>X</v>
      </c>
      <c r="R24" s="187"/>
      <c r="S24" s="187"/>
      <c r="T24" s="497"/>
      <c r="U24" s="188"/>
      <c r="W24" s="188"/>
      <c r="X24" s="186">
        <f t="shared" si="4"/>
        <v>0</v>
      </c>
      <c r="Y24" s="186">
        <f t="shared" si="5"/>
        <v>0</v>
      </c>
      <c r="Z24" s="188" t="str">
        <f t="shared" si="6"/>
        <v>OK</v>
      </c>
      <c r="AB24" s="188"/>
      <c r="AC24" s="186">
        <f t="shared" si="7"/>
        <v>0</v>
      </c>
      <c r="AD24" s="186">
        <f t="shared" si="8"/>
        <v>0</v>
      </c>
      <c r="AE24" s="188" t="str">
        <f t="shared" si="9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IF(C24="","",INDEX([1]구분표!$I$2:$I$311, MATCH(1,([1]구분표!$E$2:$E$311='071추일입'!B24)*([1]구분표!$F$2:$F$311='071추일입'!C24)*([1]구분표!$G$2:$G$311='071추일입'!A24),0)))</f>
        <v/>
      </c>
      <c r="AK24" s="188"/>
      <c r="AM24" s="186">
        <f>IF(AG24="",0,SUMIFS('071추일출'!$Z$6:$Z$18,'071추일출'!$AI$6:$AI$18,'071추일입'!$AG24))</f>
        <v>0</v>
      </c>
      <c r="AN24" s="186" t="str">
        <f>IF(AG24="","",COUNTIFS('071추일출'!$AI$6:$AI$18,'071추일입'!AG24))</f>
        <v/>
      </c>
      <c r="AO24" s="188" t="str">
        <f t="shared" si="10"/>
        <v>OK</v>
      </c>
      <c r="AQ24" s="186">
        <f>IF(AG24="",0,SUMIFS('071추일출'!$AE$6:$AE$18,'071추일출'!$AI$6:$AI$18,'071추일입'!$AG24))</f>
        <v>0</v>
      </c>
      <c r="AR24" s="186" t="str">
        <f>IF(AG24="","",COUNTIFS('071추일출'!$AI$6:$AI$18,AG24))</f>
        <v/>
      </c>
      <c r="AS24" s="188" t="str">
        <f t="shared" si="11"/>
        <v>OK</v>
      </c>
    </row>
    <row r="25" spans="1:45" ht="50.1" customHeight="1">
      <c r="A25" s="486"/>
      <c r="B25" s="487"/>
      <c r="C25" s="488"/>
      <c r="D25" s="489"/>
      <c r="E25" s="490"/>
      <c r="F25" s="489"/>
      <c r="G25" s="501"/>
      <c r="H25" s="186"/>
      <c r="I25" s="186"/>
      <c r="J25" s="229" t="str">
        <f t="shared" si="12"/>
        <v/>
      </c>
      <c r="K25" s="186"/>
      <c r="L25" s="492"/>
      <c r="M25" s="493">
        <f t="shared" si="2"/>
        <v>0</v>
      </c>
      <c r="N25" s="494"/>
      <c r="O25" s="495"/>
      <c r="P25" s="496">
        <f t="shared" si="3"/>
        <v>0</v>
      </c>
      <c r="Q25" s="187" t="str">
        <f t="shared" si="13"/>
        <v>X</v>
      </c>
      <c r="R25" s="187"/>
      <c r="S25" s="187"/>
      <c r="T25" s="497"/>
      <c r="U25" s="188"/>
      <c r="W25" s="188"/>
      <c r="X25" s="186">
        <f t="shared" si="4"/>
        <v>0</v>
      </c>
      <c r="Y25" s="186">
        <f t="shared" si="5"/>
        <v>0</v>
      </c>
      <c r="Z25" s="188" t="str">
        <f t="shared" si="6"/>
        <v>OK</v>
      </c>
      <c r="AB25" s="188"/>
      <c r="AC25" s="186">
        <f t="shared" si="7"/>
        <v>0</v>
      </c>
      <c r="AD25" s="186">
        <f t="shared" si="8"/>
        <v>0</v>
      </c>
      <c r="AE25" s="188" t="str">
        <f t="shared" si="9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IF(C25="","",INDEX([1]구분표!$I$2:$I$311, MATCH(1,([1]구분표!$E$2:$E$311='071추일입'!B25)*([1]구분표!$F$2:$F$311='071추일입'!C25)*([1]구분표!$G$2:$G$311='071추일입'!A25),0)))</f>
        <v/>
      </c>
      <c r="AK25" s="188"/>
      <c r="AM25" s="186">
        <f>IF(AG25="",0,SUMIFS('071추일출'!$Z$6:$Z$18,'071추일출'!$AI$6:$AI$18,'071추일입'!$AG25))</f>
        <v>0</v>
      </c>
      <c r="AN25" s="186" t="str">
        <f>IF(AG25="","",COUNTIFS('071추일출'!$AI$6:$AI$18,'071추일입'!AG25))</f>
        <v/>
      </c>
      <c r="AO25" s="188" t="str">
        <f t="shared" si="10"/>
        <v>OK</v>
      </c>
      <c r="AQ25" s="186">
        <f>IF(AG25="",0,SUMIFS('071추일출'!$AE$6:$AE$18,'071추일출'!$AI$6:$AI$18,'071추일입'!$AG25))</f>
        <v>0</v>
      </c>
      <c r="AR25" s="186" t="str">
        <f>IF(AG25="","",COUNTIFS('071추일출'!$AI$6:$AI$18,AG25))</f>
        <v/>
      </c>
      <c r="AS25" s="188" t="str">
        <f t="shared" si="11"/>
        <v>OK</v>
      </c>
    </row>
    <row r="26" spans="1:45" ht="50.1" customHeight="1">
      <c r="A26" s="486"/>
      <c r="B26" s="487"/>
      <c r="C26" s="488"/>
      <c r="D26" s="489"/>
      <c r="E26" s="490"/>
      <c r="F26" s="489"/>
      <c r="G26" s="501"/>
      <c r="H26" s="186"/>
      <c r="I26" s="186"/>
      <c r="J26" s="229" t="str">
        <f t="shared" si="12"/>
        <v/>
      </c>
      <c r="K26" s="186"/>
      <c r="L26" s="492"/>
      <c r="M26" s="493">
        <f t="shared" si="2"/>
        <v>0</v>
      </c>
      <c r="N26" s="494"/>
      <c r="O26" s="495"/>
      <c r="P26" s="496">
        <f t="shared" si="3"/>
        <v>0</v>
      </c>
      <c r="Q26" s="187" t="str">
        <f t="shared" si="13"/>
        <v>X</v>
      </c>
      <c r="R26" s="187"/>
      <c r="S26" s="187"/>
      <c r="T26" s="497"/>
      <c r="U26" s="188"/>
      <c r="W26" s="188"/>
      <c r="X26" s="186">
        <f t="shared" si="4"/>
        <v>0</v>
      </c>
      <c r="Y26" s="186">
        <f t="shared" si="5"/>
        <v>0</v>
      </c>
      <c r="Z26" s="188" t="str">
        <f t="shared" si="6"/>
        <v>OK</v>
      </c>
      <c r="AB26" s="188"/>
      <c r="AC26" s="186">
        <f t="shared" si="7"/>
        <v>0</v>
      </c>
      <c r="AD26" s="186">
        <f t="shared" si="8"/>
        <v>0</v>
      </c>
      <c r="AE26" s="188" t="str">
        <f t="shared" si="9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IF(C26="","",INDEX([1]구분표!$I$2:$I$311, MATCH(1,([1]구분표!$E$2:$E$311='071추일입'!B26)*([1]구분표!$F$2:$F$311='071추일입'!C26)*([1]구분표!$G$2:$G$311='071추일입'!A26),0)))</f>
        <v/>
      </c>
      <c r="AK26" s="188"/>
      <c r="AM26" s="186">
        <f>IF(AG26="",0,SUMIFS('071추일출'!$Z$6:$Z$18,'071추일출'!$AI$6:$AI$18,'071추일입'!$AG26))</f>
        <v>0</v>
      </c>
      <c r="AN26" s="186" t="str">
        <f>IF(AG26="","",COUNTIFS('071추일출'!$AI$6:$AI$18,'071추일입'!AG26))</f>
        <v/>
      </c>
      <c r="AO26" s="188" t="str">
        <f t="shared" si="10"/>
        <v>OK</v>
      </c>
      <c r="AQ26" s="186">
        <f>IF(AG26="",0,SUMIFS('071추일출'!$AE$6:$AE$18,'071추일출'!$AI$6:$AI$18,'071추일입'!$AG26))</f>
        <v>0</v>
      </c>
      <c r="AR26" s="186" t="str">
        <f>IF(AG26="","",COUNTIFS('071추일출'!$AI$6:$AI$18,AG26))</f>
        <v/>
      </c>
      <c r="AS26" s="188" t="str">
        <f t="shared" si="11"/>
        <v>OK</v>
      </c>
    </row>
    <row r="27" spans="1:45" ht="50.1" customHeight="1">
      <c r="A27" s="486"/>
      <c r="B27" s="487"/>
      <c r="C27" s="488"/>
      <c r="D27" s="489"/>
      <c r="E27" s="490"/>
      <c r="F27" s="489"/>
      <c r="G27" s="501"/>
      <c r="H27" s="186"/>
      <c r="I27" s="186"/>
      <c r="J27" s="229" t="str">
        <f t="shared" si="12"/>
        <v/>
      </c>
      <c r="K27" s="186"/>
      <c r="L27" s="492"/>
      <c r="M27" s="493">
        <f t="shared" si="2"/>
        <v>0</v>
      </c>
      <c r="N27" s="494"/>
      <c r="O27" s="495"/>
      <c r="P27" s="496">
        <f t="shared" si="3"/>
        <v>0</v>
      </c>
      <c r="Q27" s="187" t="str">
        <f t="shared" si="13"/>
        <v>X</v>
      </c>
      <c r="R27" s="187"/>
      <c r="S27" s="187"/>
      <c r="T27" s="497"/>
      <c r="U27" s="188"/>
      <c r="W27" s="188"/>
      <c r="X27" s="186">
        <f t="shared" si="4"/>
        <v>0</v>
      </c>
      <c r="Y27" s="186">
        <f t="shared" si="5"/>
        <v>0</v>
      </c>
      <c r="Z27" s="188" t="str">
        <f t="shared" si="6"/>
        <v>OK</v>
      </c>
      <c r="AB27" s="188"/>
      <c r="AC27" s="186">
        <f t="shared" si="7"/>
        <v>0</v>
      </c>
      <c r="AD27" s="186">
        <f t="shared" si="8"/>
        <v>0</v>
      </c>
      <c r="AE27" s="188" t="str">
        <f t="shared" si="9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IF(C27="","",INDEX([1]구분표!$I$2:$I$311, MATCH(1,([1]구분표!$E$2:$E$311='071추일입'!B27)*([1]구분표!$F$2:$F$311='071추일입'!C27)*([1]구분표!$G$2:$G$311='071추일입'!A27),0)))</f>
        <v/>
      </c>
      <c r="AK27" s="188"/>
      <c r="AM27" s="186">
        <f>IF(AG27="",0,SUMIFS('071추일출'!$Z$6:$Z$18,'071추일출'!$AI$6:$AI$18,'071추일입'!$AG27))</f>
        <v>0</v>
      </c>
      <c r="AN27" s="186" t="str">
        <f>IF(AG27="","",COUNTIFS('071추일출'!$AI$6:$AI$18,'071추일입'!AG27))</f>
        <v/>
      </c>
      <c r="AO27" s="188" t="str">
        <f t="shared" si="10"/>
        <v>OK</v>
      </c>
      <c r="AQ27" s="186">
        <f>IF(AG27="",0,SUMIFS('071추일출'!$AE$6:$AE$18,'071추일출'!$AI$6:$AI$18,'071추일입'!$AG27))</f>
        <v>0</v>
      </c>
      <c r="AR27" s="186" t="str">
        <f>IF(AG27="","",COUNTIFS('071추일출'!$AI$6:$AI$18,AG27))</f>
        <v/>
      </c>
      <c r="AS27" s="188" t="str">
        <f t="shared" si="11"/>
        <v>OK</v>
      </c>
    </row>
    <row r="28" spans="1:45" ht="50.1" customHeight="1">
      <c r="A28" s="486"/>
      <c r="B28" s="487"/>
      <c r="C28" s="488"/>
      <c r="D28" s="489"/>
      <c r="E28" s="490"/>
      <c r="F28" s="489"/>
      <c r="G28" s="501"/>
      <c r="H28" s="186"/>
      <c r="I28" s="186"/>
      <c r="J28" s="229" t="str">
        <f t="shared" si="12"/>
        <v/>
      </c>
      <c r="K28" s="186"/>
      <c r="L28" s="492"/>
      <c r="M28" s="493">
        <f t="shared" si="2"/>
        <v>0</v>
      </c>
      <c r="N28" s="494"/>
      <c r="O28" s="495"/>
      <c r="P28" s="496">
        <f t="shared" si="3"/>
        <v>0</v>
      </c>
      <c r="Q28" s="187" t="str">
        <f t="shared" si="13"/>
        <v>X</v>
      </c>
      <c r="R28" s="187"/>
      <c r="S28" s="187"/>
      <c r="T28" s="497"/>
      <c r="U28" s="188"/>
      <c r="W28" s="188"/>
      <c r="X28" s="186">
        <f t="shared" si="4"/>
        <v>0</v>
      </c>
      <c r="Y28" s="186">
        <f t="shared" si="5"/>
        <v>0</v>
      </c>
      <c r="Z28" s="188" t="str">
        <f t="shared" si="6"/>
        <v>OK</v>
      </c>
      <c r="AB28" s="188"/>
      <c r="AC28" s="186">
        <f t="shared" si="7"/>
        <v>0</v>
      </c>
      <c r="AD28" s="186">
        <f t="shared" si="8"/>
        <v>0</v>
      </c>
      <c r="AE28" s="188" t="str">
        <f t="shared" si="9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IF(C28="","",INDEX([1]구분표!$I$2:$I$311, MATCH(1,([1]구분표!$E$2:$E$311='071추일입'!B28)*([1]구분표!$F$2:$F$311='071추일입'!C28)*([1]구분표!$G$2:$G$311='071추일입'!A28),0)))</f>
        <v/>
      </c>
      <c r="AK28" s="188"/>
      <c r="AM28" s="186">
        <f>IF(AG28="",0,SUMIFS('071추일출'!$Z$6:$Z$18,'071추일출'!$AI$6:$AI$18,'071추일입'!$AG28))</f>
        <v>0</v>
      </c>
      <c r="AN28" s="186" t="str">
        <f>IF(AG28="","",COUNTIFS('071추일출'!$AI$6:$AI$18,'071추일입'!AG28))</f>
        <v/>
      </c>
      <c r="AO28" s="188" t="str">
        <f t="shared" si="10"/>
        <v>OK</v>
      </c>
      <c r="AQ28" s="186">
        <f>IF(AG28="",0,SUMIFS('071추일출'!$AE$6:$AE$18,'071추일출'!$AI$6:$AI$18,'071추일입'!$AG28))</f>
        <v>0</v>
      </c>
      <c r="AR28" s="186" t="str">
        <f>IF(AG28="","",COUNTIFS('071추일출'!$AI$6:$AI$18,AG28))</f>
        <v/>
      </c>
      <c r="AS28" s="188" t="str">
        <f t="shared" si="11"/>
        <v>OK</v>
      </c>
    </row>
    <row r="29" spans="1:45" ht="50.1" customHeight="1">
      <c r="A29" s="486"/>
      <c r="B29" s="487"/>
      <c r="C29" s="488"/>
      <c r="D29" s="489"/>
      <c r="E29" s="490"/>
      <c r="F29" s="489"/>
      <c r="G29" s="501"/>
      <c r="H29" s="186"/>
      <c r="I29" s="186"/>
      <c r="J29" s="229" t="str">
        <f t="shared" si="12"/>
        <v/>
      </c>
      <c r="K29" s="186"/>
      <c r="L29" s="492"/>
      <c r="M29" s="493">
        <f t="shared" si="2"/>
        <v>0</v>
      </c>
      <c r="N29" s="494"/>
      <c r="O29" s="495"/>
      <c r="P29" s="496">
        <f t="shared" si="3"/>
        <v>0</v>
      </c>
      <c r="Q29" s="187" t="str">
        <f t="shared" si="13"/>
        <v>X</v>
      </c>
      <c r="R29" s="187"/>
      <c r="S29" s="187"/>
      <c r="T29" s="497"/>
      <c r="U29" s="188"/>
      <c r="W29" s="188"/>
      <c r="X29" s="186">
        <f t="shared" si="4"/>
        <v>0</v>
      </c>
      <c r="Y29" s="186">
        <f t="shared" si="5"/>
        <v>0</v>
      </c>
      <c r="Z29" s="188" t="str">
        <f t="shared" si="6"/>
        <v>OK</v>
      </c>
      <c r="AB29" s="188"/>
      <c r="AC29" s="186">
        <f t="shared" si="7"/>
        <v>0</v>
      </c>
      <c r="AD29" s="186">
        <f t="shared" si="8"/>
        <v>0</v>
      </c>
      <c r="AE29" s="188" t="str">
        <f t="shared" si="9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IF(C29="","",INDEX([1]구분표!$I$2:$I$311, MATCH(1,([1]구분표!$E$2:$E$311='071추일입'!B29)*([1]구분표!$F$2:$F$311='071추일입'!C29)*([1]구분표!$G$2:$G$311='071추일입'!A29),0)))</f>
        <v/>
      </c>
      <c r="AK29" s="188"/>
      <c r="AM29" s="186">
        <f>IF(AG29="",0,SUMIFS('071추일출'!$Z$6:$Z$18,'071추일출'!$AI$6:$AI$18,'071추일입'!$AG29))</f>
        <v>0</v>
      </c>
      <c r="AN29" s="186" t="str">
        <f>IF(AG29="","",COUNTIFS('071추일출'!$AI$6:$AI$18,'071추일입'!AG29))</f>
        <v/>
      </c>
      <c r="AO29" s="188" t="str">
        <f t="shared" si="10"/>
        <v>OK</v>
      </c>
      <c r="AQ29" s="186">
        <f>IF(AG29="",0,SUMIFS('071추일출'!$AE$6:$AE$18,'071추일출'!$AI$6:$AI$18,'071추일입'!$AG29))</f>
        <v>0</v>
      </c>
      <c r="AR29" s="186" t="str">
        <f>IF(AG29="","",COUNTIFS('071추일출'!$AI$6:$AI$18,AG29))</f>
        <v/>
      </c>
      <c r="AS29" s="188" t="str">
        <f t="shared" si="11"/>
        <v>OK</v>
      </c>
    </row>
    <row r="30" spans="1:45" ht="50.1" customHeight="1">
      <c r="A30" s="486"/>
      <c r="B30" s="487"/>
      <c r="C30" s="488"/>
      <c r="D30" s="489"/>
      <c r="E30" s="490"/>
      <c r="F30" s="489"/>
      <c r="G30" s="501"/>
      <c r="H30" s="186"/>
      <c r="I30" s="186"/>
      <c r="J30" s="229" t="str">
        <f t="shared" si="12"/>
        <v/>
      </c>
      <c r="K30" s="186"/>
      <c r="L30" s="492"/>
      <c r="M30" s="493">
        <f t="shared" si="2"/>
        <v>0</v>
      </c>
      <c r="N30" s="494"/>
      <c r="O30" s="495"/>
      <c r="P30" s="496">
        <f t="shared" si="3"/>
        <v>0</v>
      </c>
      <c r="Q30" s="187" t="str">
        <f t="shared" si="13"/>
        <v>X</v>
      </c>
      <c r="R30" s="187"/>
      <c r="S30" s="187"/>
      <c r="T30" s="497"/>
      <c r="U30" s="188"/>
      <c r="W30" s="188"/>
      <c r="X30" s="186">
        <f t="shared" si="4"/>
        <v>0</v>
      </c>
      <c r="Y30" s="186">
        <f t="shared" si="5"/>
        <v>0</v>
      </c>
      <c r="Z30" s="188" t="str">
        <f t="shared" si="6"/>
        <v>OK</v>
      </c>
      <c r="AB30" s="188"/>
      <c r="AC30" s="186">
        <f t="shared" si="7"/>
        <v>0</v>
      </c>
      <c r="AD30" s="186">
        <f t="shared" si="8"/>
        <v>0</v>
      </c>
      <c r="AE30" s="188" t="str">
        <f t="shared" si="9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IF(C30="","",INDEX([1]구분표!$I$2:$I$311, MATCH(1,([1]구분표!$E$2:$E$311='071추일입'!B30)*([1]구분표!$F$2:$F$311='071추일입'!C30)*([1]구분표!$G$2:$G$311='071추일입'!A30),0)))</f>
        <v/>
      </c>
      <c r="AK30" s="188"/>
      <c r="AM30" s="186">
        <f>IF(AG30="",0,SUMIFS('071추일출'!$Z$6:$Z$18,'071추일출'!$AI$6:$AI$18,'071추일입'!$AG30))</f>
        <v>0</v>
      </c>
      <c r="AN30" s="186" t="str">
        <f>IF(AG30="","",COUNTIFS('071추일출'!$AI$6:$AI$18,'071추일입'!AG30))</f>
        <v/>
      </c>
      <c r="AO30" s="188" t="str">
        <f t="shared" si="10"/>
        <v>OK</v>
      </c>
      <c r="AQ30" s="186">
        <f>IF(AG30="",0,SUMIFS('071추일출'!$AE$6:$AE$18,'071추일출'!$AI$6:$AI$18,'071추일입'!$AG30))</f>
        <v>0</v>
      </c>
      <c r="AR30" s="186" t="str">
        <f>IF(AG30="","",COUNTIFS('071추일출'!$AI$6:$AI$18,AG30))</f>
        <v/>
      </c>
      <c r="AS30" s="188" t="str">
        <f t="shared" si="11"/>
        <v>OK</v>
      </c>
    </row>
    <row r="31" spans="1:45" ht="50.1" customHeight="1">
      <c r="A31" s="486"/>
      <c r="B31" s="487"/>
      <c r="C31" s="488"/>
      <c r="D31" s="489"/>
      <c r="E31" s="490"/>
      <c r="F31" s="489"/>
      <c r="G31" s="501"/>
      <c r="H31" s="186"/>
      <c r="I31" s="186"/>
      <c r="J31" s="229" t="str">
        <f t="shared" si="12"/>
        <v/>
      </c>
      <c r="K31" s="186"/>
      <c r="L31" s="492"/>
      <c r="M31" s="493">
        <f t="shared" si="2"/>
        <v>0</v>
      </c>
      <c r="N31" s="494"/>
      <c r="O31" s="495"/>
      <c r="P31" s="496">
        <f t="shared" si="3"/>
        <v>0</v>
      </c>
      <c r="Q31" s="187" t="str">
        <f t="shared" si="13"/>
        <v>X</v>
      </c>
      <c r="R31" s="187"/>
      <c r="S31" s="187"/>
      <c r="T31" s="497"/>
      <c r="U31" s="188"/>
      <c r="W31" s="188"/>
      <c r="X31" s="186">
        <f t="shared" si="4"/>
        <v>0</v>
      </c>
      <c r="Y31" s="186">
        <f t="shared" si="5"/>
        <v>0</v>
      </c>
      <c r="Z31" s="188" t="str">
        <f t="shared" si="6"/>
        <v>OK</v>
      </c>
      <c r="AB31" s="188"/>
      <c r="AC31" s="186">
        <f t="shared" si="7"/>
        <v>0</v>
      </c>
      <c r="AD31" s="186">
        <f t="shared" si="8"/>
        <v>0</v>
      </c>
      <c r="AE31" s="188" t="str">
        <f t="shared" si="9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IF(C31="","",INDEX([1]구분표!$I$2:$I$311, MATCH(1,([1]구분표!$E$2:$E$311='071추일입'!B31)*([1]구분표!$F$2:$F$311='071추일입'!C31)*([1]구분표!$G$2:$G$311='071추일입'!A31),0)))</f>
        <v/>
      </c>
      <c r="AK31" s="188"/>
      <c r="AM31" s="186">
        <f>IF(AG31="",0,SUMIFS('071추일출'!$Z$6:$Z$18,'071추일출'!$AI$6:$AI$18,'071추일입'!$AG31))</f>
        <v>0</v>
      </c>
      <c r="AN31" s="186" t="str">
        <f>IF(AG31="","",COUNTIFS('071추일출'!$AI$6:$AI$18,'071추일입'!AG31))</f>
        <v/>
      </c>
      <c r="AO31" s="188" t="str">
        <f t="shared" si="10"/>
        <v>OK</v>
      </c>
      <c r="AQ31" s="186">
        <f>IF(AG31="",0,SUMIFS('071추일출'!$AE$6:$AE$18,'071추일출'!$AI$6:$AI$18,'071추일입'!$AG31))</f>
        <v>0</v>
      </c>
      <c r="AR31" s="186" t="str">
        <f>IF(AG31="","",COUNTIFS('071추일출'!$AI$6:$AI$18,AG31))</f>
        <v/>
      </c>
      <c r="AS31" s="188" t="str">
        <f t="shared" si="11"/>
        <v>OK</v>
      </c>
    </row>
    <row r="32" spans="1:45" ht="50.1" customHeight="1">
      <c r="A32" s="486"/>
      <c r="B32" s="487"/>
      <c r="C32" s="488"/>
      <c r="D32" s="489"/>
      <c r="E32" s="490"/>
      <c r="F32" s="489"/>
      <c r="G32" s="501"/>
      <c r="H32" s="186"/>
      <c r="I32" s="186"/>
      <c r="J32" s="229" t="str">
        <f t="shared" si="12"/>
        <v/>
      </c>
      <c r="K32" s="186"/>
      <c r="L32" s="492"/>
      <c r="M32" s="493">
        <f t="shared" si="2"/>
        <v>0</v>
      </c>
      <c r="N32" s="494"/>
      <c r="O32" s="495"/>
      <c r="P32" s="496">
        <f t="shared" si="3"/>
        <v>0</v>
      </c>
      <c r="Q32" s="187" t="str">
        <f t="shared" si="13"/>
        <v>X</v>
      </c>
      <c r="R32" s="187"/>
      <c r="S32" s="187"/>
      <c r="T32" s="497"/>
      <c r="U32" s="188"/>
      <c r="W32" s="188"/>
      <c r="X32" s="186">
        <f t="shared" si="4"/>
        <v>0</v>
      </c>
      <c r="Y32" s="186">
        <f t="shared" si="5"/>
        <v>0</v>
      </c>
      <c r="Z32" s="188" t="str">
        <f t="shared" si="6"/>
        <v>OK</v>
      </c>
      <c r="AB32" s="188"/>
      <c r="AC32" s="186">
        <f t="shared" si="7"/>
        <v>0</v>
      </c>
      <c r="AD32" s="186">
        <f t="shared" si="8"/>
        <v>0</v>
      </c>
      <c r="AE32" s="188" t="str">
        <f t="shared" si="9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IF(C32="","",INDEX([1]구분표!$I$2:$I$311, MATCH(1,([1]구분표!$E$2:$E$311='071추일입'!B32)*([1]구분표!$F$2:$F$311='071추일입'!C32)*([1]구분표!$G$2:$G$311='071추일입'!A32),0)))</f>
        <v/>
      </c>
      <c r="AK32" s="188"/>
      <c r="AM32" s="186">
        <f>IF(AG32="",0,SUMIFS('071추일출'!$Z$6:$Z$18,'071추일출'!$AI$6:$AI$18,'071추일입'!$AG32))</f>
        <v>0</v>
      </c>
      <c r="AN32" s="186" t="str">
        <f>IF(AG32="","",COUNTIFS('071추일출'!$AI$6:$AI$18,'071추일입'!AG32))</f>
        <v/>
      </c>
      <c r="AO32" s="188" t="str">
        <f t="shared" si="10"/>
        <v>OK</v>
      </c>
      <c r="AQ32" s="186">
        <f>IF(AG32="",0,SUMIFS('071추일출'!$AE$6:$AE$18,'071추일출'!$AI$6:$AI$18,'071추일입'!$AG32))</f>
        <v>0</v>
      </c>
      <c r="AR32" s="186" t="str">
        <f>IF(AG32="","",COUNTIFS('071추일출'!$AI$6:$AI$18,AG32))</f>
        <v/>
      </c>
      <c r="AS32" s="188" t="str">
        <f t="shared" si="11"/>
        <v>OK</v>
      </c>
    </row>
    <row r="33" spans="1:45" ht="50.1" customHeight="1">
      <c r="A33" s="486"/>
      <c r="B33" s="487"/>
      <c r="C33" s="488"/>
      <c r="D33" s="489"/>
      <c r="E33" s="490"/>
      <c r="F33" s="489"/>
      <c r="G33" s="501"/>
      <c r="H33" s="186"/>
      <c r="I33" s="186"/>
      <c r="J33" s="229" t="str">
        <f t="shared" si="12"/>
        <v/>
      </c>
      <c r="K33" s="186"/>
      <c r="L33" s="492"/>
      <c r="M33" s="493">
        <f t="shared" si="2"/>
        <v>0</v>
      </c>
      <c r="N33" s="494"/>
      <c r="O33" s="495"/>
      <c r="P33" s="496">
        <f t="shared" si="3"/>
        <v>0</v>
      </c>
      <c r="Q33" s="187" t="str">
        <f t="shared" si="13"/>
        <v>X</v>
      </c>
      <c r="R33" s="187"/>
      <c r="S33" s="187"/>
      <c r="T33" s="497"/>
      <c r="U33" s="188"/>
      <c r="W33" s="188"/>
      <c r="X33" s="186">
        <f t="shared" si="4"/>
        <v>0</v>
      </c>
      <c r="Y33" s="186">
        <f t="shared" si="5"/>
        <v>0</v>
      </c>
      <c r="Z33" s="188" t="str">
        <f t="shared" si="6"/>
        <v>OK</v>
      </c>
      <c r="AB33" s="188"/>
      <c r="AC33" s="186">
        <f t="shared" si="7"/>
        <v>0</v>
      </c>
      <c r="AD33" s="186">
        <f t="shared" si="8"/>
        <v>0</v>
      </c>
      <c r="AE33" s="188" t="str">
        <f t="shared" si="9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IF(C33="","",INDEX([1]구분표!$I$2:$I$311, MATCH(1,([1]구분표!$E$2:$E$311='071추일입'!B33)*([1]구분표!$F$2:$F$311='071추일입'!C33)*([1]구분표!$G$2:$G$311='071추일입'!A33),0)))</f>
        <v/>
      </c>
      <c r="AK33" s="188"/>
      <c r="AM33" s="186">
        <f>IF(AG33="",0,SUMIFS('071추일출'!$Z$6:$Z$18,'071추일출'!$AI$6:$AI$18,'071추일입'!$AG33))</f>
        <v>0</v>
      </c>
      <c r="AN33" s="186" t="str">
        <f>IF(AG33="","",COUNTIFS('071추일출'!$AI$6:$AI$18,'071추일입'!AG33))</f>
        <v/>
      </c>
      <c r="AO33" s="188" t="str">
        <f t="shared" si="10"/>
        <v>OK</v>
      </c>
      <c r="AQ33" s="186">
        <f>IF(AG33="",0,SUMIFS('071추일출'!$AE$6:$AE$18,'071추일출'!$AI$6:$AI$18,'071추일입'!$AG33))</f>
        <v>0</v>
      </c>
      <c r="AR33" s="186" t="str">
        <f>IF(AG33="","",COUNTIFS('071추일출'!$AI$6:$AI$18,AG33))</f>
        <v/>
      </c>
      <c r="AS33" s="188" t="str">
        <f t="shared" si="11"/>
        <v>OK</v>
      </c>
    </row>
    <row r="34" spans="1:45" ht="50.1" customHeight="1">
      <c r="A34" s="486"/>
      <c r="B34" s="487"/>
      <c r="C34" s="488"/>
      <c r="D34" s="489"/>
      <c r="E34" s="490"/>
      <c r="F34" s="489"/>
      <c r="G34" s="501"/>
      <c r="H34" s="186"/>
      <c r="I34" s="186"/>
      <c r="J34" s="229" t="str">
        <f t="shared" si="12"/>
        <v/>
      </c>
      <c r="K34" s="186"/>
      <c r="L34" s="492"/>
      <c r="M34" s="493">
        <f t="shared" si="2"/>
        <v>0</v>
      </c>
      <c r="N34" s="494"/>
      <c r="O34" s="495"/>
      <c r="P34" s="496">
        <f t="shared" si="3"/>
        <v>0</v>
      </c>
      <c r="Q34" s="187" t="str">
        <f t="shared" si="13"/>
        <v>X</v>
      </c>
      <c r="R34" s="187"/>
      <c r="S34" s="187"/>
      <c r="T34" s="497"/>
      <c r="U34" s="188"/>
      <c r="W34" s="188"/>
      <c r="X34" s="186">
        <f t="shared" si="4"/>
        <v>0</v>
      </c>
      <c r="Y34" s="186">
        <f t="shared" si="5"/>
        <v>0</v>
      </c>
      <c r="Z34" s="188" t="str">
        <f t="shared" si="6"/>
        <v>OK</v>
      </c>
      <c r="AB34" s="188"/>
      <c r="AC34" s="186">
        <f t="shared" si="7"/>
        <v>0</v>
      </c>
      <c r="AD34" s="186">
        <f t="shared" si="8"/>
        <v>0</v>
      </c>
      <c r="AE34" s="188" t="str">
        <f t="shared" si="9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IF(C34="","",INDEX([1]구분표!$I$2:$I$311, MATCH(1,([1]구분표!$E$2:$E$311='071추일입'!B34)*([1]구분표!$F$2:$F$311='071추일입'!C34)*([1]구분표!$G$2:$G$311='071추일입'!A34),0)))</f>
        <v/>
      </c>
      <c r="AK34" s="188"/>
      <c r="AM34" s="186">
        <f>IF(AG34="",0,SUMIFS('071추일출'!$Z$6:$Z$18,'071추일출'!$AI$6:$AI$18,'071추일입'!$AG34))</f>
        <v>0</v>
      </c>
      <c r="AN34" s="186" t="str">
        <f>IF(AG34="","",COUNTIFS('071추일출'!$AI$6:$AI$18,'071추일입'!AG34))</f>
        <v/>
      </c>
      <c r="AO34" s="188" t="str">
        <f t="shared" si="10"/>
        <v>OK</v>
      </c>
      <c r="AQ34" s="186">
        <f>IF(AG34="",0,SUMIFS('071추일출'!$AE$6:$AE$18,'071추일출'!$AI$6:$AI$18,'071추일입'!$AG34))</f>
        <v>0</v>
      </c>
      <c r="AR34" s="186" t="str">
        <f>IF(AG34="","",COUNTIFS('071추일출'!$AI$6:$AI$18,AG34))</f>
        <v/>
      </c>
      <c r="AS34" s="188" t="str">
        <f t="shared" si="11"/>
        <v>OK</v>
      </c>
    </row>
    <row r="35" spans="1:45" ht="50.1" customHeight="1">
      <c r="A35" s="486"/>
      <c r="B35" s="487"/>
      <c r="C35" s="488"/>
      <c r="D35" s="489"/>
      <c r="E35" s="490"/>
      <c r="F35" s="489"/>
      <c r="G35" s="501"/>
      <c r="H35" s="186"/>
      <c r="I35" s="186"/>
      <c r="J35" s="229" t="str">
        <f t="shared" si="12"/>
        <v/>
      </c>
      <c r="K35" s="186"/>
      <c r="L35" s="492"/>
      <c r="M35" s="493">
        <f t="shared" si="2"/>
        <v>0</v>
      </c>
      <c r="N35" s="494"/>
      <c r="O35" s="495"/>
      <c r="P35" s="496">
        <f t="shared" si="3"/>
        <v>0</v>
      </c>
      <c r="Q35" s="187" t="str">
        <f t="shared" si="13"/>
        <v>X</v>
      </c>
      <c r="R35" s="187"/>
      <c r="S35" s="187"/>
      <c r="T35" s="497"/>
      <c r="U35" s="188"/>
      <c r="W35" s="188"/>
      <c r="X35" s="186">
        <f t="shared" si="4"/>
        <v>0</v>
      </c>
      <c r="Y35" s="186">
        <f t="shared" si="5"/>
        <v>0</v>
      </c>
      <c r="Z35" s="188" t="str">
        <f t="shared" si="6"/>
        <v>OK</v>
      </c>
      <c r="AB35" s="188"/>
      <c r="AC35" s="186">
        <f t="shared" si="7"/>
        <v>0</v>
      </c>
      <c r="AD35" s="186">
        <f t="shared" si="8"/>
        <v>0</v>
      </c>
      <c r="AE35" s="188" t="str">
        <f t="shared" si="9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IF(C35="","",INDEX([1]구분표!$I$2:$I$311, MATCH(1,([1]구분표!$E$2:$E$311='071추일입'!B35)*([1]구분표!$F$2:$F$311='071추일입'!C35)*([1]구분표!$G$2:$G$311='071추일입'!A35),0)))</f>
        <v/>
      </c>
      <c r="AK35" s="188"/>
      <c r="AM35" s="186">
        <f>IF(AG35="",0,SUMIFS('071추일출'!$Z$6:$Z$18,'071추일출'!$AI$6:$AI$18,'071추일입'!$AG35))</f>
        <v>0</v>
      </c>
      <c r="AN35" s="186" t="str">
        <f>IF(AG35="","",COUNTIFS('071추일출'!$AI$6:$AI$18,'071추일입'!AG35))</f>
        <v/>
      </c>
      <c r="AO35" s="188" t="str">
        <f t="shared" si="10"/>
        <v>OK</v>
      </c>
      <c r="AQ35" s="186">
        <f>IF(AG35="",0,SUMIFS('071추일출'!$AE$6:$AE$18,'071추일출'!$AI$6:$AI$18,'071추일입'!$AG35))</f>
        <v>0</v>
      </c>
      <c r="AR35" s="186" t="str">
        <f>IF(AG35="","",COUNTIFS('071추일출'!$AI$6:$AI$18,AG35))</f>
        <v/>
      </c>
      <c r="AS35" s="188" t="str">
        <f t="shared" si="11"/>
        <v>OK</v>
      </c>
    </row>
    <row r="36" spans="1:45" ht="50.1" customHeight="1">
      <c r="A36" s="486"/>
      <c r="B36" s="487"/>
      <c r="C36" s="488"/>
      <c r="D36" s="489"/>
      <c r="E36" s="490"/>
      <c r="F36" s="489"/>
      <c r="G36" s="501"/>
      <c r="H36" s="186"/>
      <c r="I36" s="186"/>
      <c r="J36" s="229" t="str">
        <f t="shared" si="12"/>
        <v/>
      </c>
      <c r="K36" s="186"/>
      <c r="L36" s="492"/>
      <c r="M36" s="493">
        <f t="shared" si="2"/>
        <v>0</v>
      </c>
      <c r="N36" s="494"/>
      <c r="O36" s="495"/>
      <c r="P36" s="496">
        <f t="shared" si="3"/>
        <v>0</v>
      </c>
      <c r="Q36" s="187" t="str">
        <f t="shared" si="13"/>
        <v>X</v>
      </c>
      <c r="R36" s="187"/>
      <c r="S36" s="187"/>
      <c r="T36" s="497"/>
      <c r="U36" s="188"/>
      <c r="W36" s="188"/>
      <c r="X36" s="186">
        <f t="shared" si="4"/>
        <v>0</v>
      </c>
      <c r="Y36" s="186">
        <f t="shared" si="5"/>
        <v>0</v>
      </c>
      <c r="Z36" s="188" t="str">
        <f t="shared" si="6"/>
        <v>OK</v>
      </c>
      <c r="AB36" s="188"/>
      <c r="AC36" s="186">
        <f t="shared" si="7"/>
        <v>0</v>
      </c>
      <c r="AD36" s="186">
        <f t="shared" si="8"/>
        <v>0</v>
      </c>
      <c r="AE36" s="188" t="str">
        <f t="shared" si="9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IF(C36="","",INDEX([1]구분표!$I$2:$I$311, MATCH(1,([1]구분표!$E$2:$E$311='071추일입'!B36)*([1]구분표!$F$2:$F$311='071추일입'!C36)*([1]구분표!$G$2:$G$311='071추일입'!A36),0)))</f>
        <v/>
      </c>
      <c r="AK36" s="188"/>
      <c r="AM36" s="186">
        <f>IF(AG36="",0,SUMIFS('071추일출'!$Z$6:$Z$18,'071추일출'!$AI$6:$AI$18,'071추일입'!$AG36))</f>
        <v>0</v>
      </c>
      <c r="AN36" s="186" t="str">
        <f>IF(AG36="","",COUNTIFS('071추일출'!$AI$6:$AI$18,'071추일입'!AG36))</f>
        <v/>
      </c>
      <c r="AO36" s="188" t="str">
        <f t="shared" si="10"/>
        <v>OK</v>
      </c>
      <c r="AQ36" s="186">
        <f>IF(AG36="",0,SUMIFS('071추일출'!$AE$6:$AE$18,'071추일출'!$AI$6:$AI$18,'071추일입'!$AG36))</f>
        <v>0</v>
      </c>
      <c r="AR36" s="186" t="str">
        <f>IF(AG36="","",COUNTIFS('071추일출'!$AI$6:$AI$18,AG36))</f>
        <v/>
      </c>
      <c r="AS36" s="188" t="str">
        <f t="shared" si="11"/>
        <v>OK</v>
      </c>
    </row>
    <row r="37" spans="1:45" ht="50.1" customHeight="1">
      <c r="A37" s="486"/>
      <c r="B37" s="487"/>
      <c r="C37" s="488"/>
      <c r="D37" s="489"/>
      <c r="E37" s="490"/>
      <c r="F37" s="489"/>
      <c r="G37" s="501"/>
      <c r="H37" s="186"/>
      <c r="I37" s="186"/>
      <c r="J37" s="229" t="str">
        <f t="shared" si="12"/>
        <v/>
      </c>
      <c r="K37" s="186"/>
      <c r="L37" s="492"/>
      <c r="M37" s="493">
        <f t="shared" si="2"/>
        <v>0</v>
      </c>
      <c r="N37" s="494"/>
      <c r="O37" s="495"/>
      <c r="P37" s="496">
        <f t="shared" si="3"/>
        <v>0</v>
      </c>
      <c r="Q37" s="187" t="str">
        <f t="shared" si="13"/>
        <v>X</v>
      </c>
      <c r="R37" s="187"/>
      <c r="S37" s="187"/>
      <c r="T37" s="497"/>
      <c r="U37" s="188"/>
      <c r="W37" s="188"/>
      <c r="X37" s="186">
        <f t="shared" si="4"/>
        <v>0</v>
      </c>
      <c r="Y37" s="186">
        <f t="shared" si="5"/>
        <v>0</v>
      </c>
      <c r="Z37" s="188" t="str">
        <f t="shared" si="6"/>
        <v>OK</v>
      </c>
      <c r="AB37" s="188"/>
      <c r="AC37" s="186">
        <f t="shared" si="7"/>
        <v>0</v>
      </c>
      <c r="AD37" s="186">
        <f t="shared" si="8"/>
        <v>0</v>
      </c>
      <c r="AE37" s="188" t="str">
        <f t="shared" si="9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IF(C37="","",INDEX([1]구분표!$I$2:$I$311, MATCH(1,([1]구분표!$E$2:$E$311='071추일입'!B37)*([1]구분표!$F$2:$F$311='071추일입'!C37)*([1]구분표!$G$2:$G$311='071추일입'!A37),0)))</f>
        <v/>
      </c>
      <c r="AK37" s="188"/>
      <c r="AM37" s="186">
        <f>IF(AG37="",0,SUMIFS('071추일출'!$Z$6:$Z$18,'071추일출'!$AI$6:$AI$18,'071추일입'!$AG37))</f>
        <v>0</v>
      </c>
      <c r="AN37" s="186" t="str">
        <f>IF(AG37="","",COUNTIFS('071추일출'!$AI$6:$AI$18,'071추일입'!AG37))</f>
        <v/>
      </c>
      <c r="AO37" s="188" t="str">
        <f t="shared" si="10"/>
        <v>OK</v>
      </c>
      <c r="AQ37" s="186">
        <f>IF(AG37="",0,SUMIFS('071추일출'!$AE$6:$AE$18,'071추일출'!$AI$6:$AI$18,'071추일입'!$AG37))</f>
        <v>0</v>
      </c>
      <c r="AR37" s="186" t="str">
        <f>IF(AG37="","",COUNTIFS('071추일출'!$AI$6:$AI$18,AG37))</f>
        <v/>
      </c>
      <c r="AS37" s="188" t="str">
        <f t="shared" si="11"/>
        <v>OK</v>
      </c>
    </row>
    <row r="38" spans="1:45" ht="50.1" customHeight="1">
      <c r="A38" s="486"/>
      <c r="B38" s="487"/>
      <c r="C38" s="488"/>
      <c r="D38" s="489"/>
      <c r="E38" s="490"/>
      <c r="F38" s="489"/>
      <c r="G38" s="501"/>
      <c r="H38" s="186"/>
      <c r="I38" s="186"/>
      <c r="J38" s="229" t="str">
        <f t="shared" si="12"/>
        <v/>
      </c>
      <c r="K38" s="186"/>
      <c r="L38" s="492"/>
      <c r="M38" s="493">
        <f t="shared" si="2"/>
        <v>0</v>
      </c>
      <c r="N38" s="494"/>
      <c r="O38" s="495"/>
      <c r="P38" s="496">
        <f t="shared" si="3"/>
        <v>0</v>
      </c>
      <c r="Q38" s="187" t="str">
        <f t="shared" si="13"/>
        <v>X</v>
      </c>
      <c r="R38" s="187"/>
      <c r="S38" s="187"/>
      <c r="T38" s="497"/>
      <c r="U38" s="188"/>
      <c r="W38" s="188"/>
      <c r="X38" s="186">
        <f t="shared" si="4"/>
        <v>0</v>
      </c>
      <c r="Y38" s="186">
        <f t="shared" si="5"/>
        <v>0</v>
      </c>
      <c r="Z38" s="188" t="str">
        <f t="shared" si="6"/>
        <v>OK</v>
      </c>
      <c r="AB38" s="188"/>
      <c r="AC38" s="186">
        <f t="shared" si="7"/>
        <v>0</v>
      </c>
      <c r="AD38" s="186">
        <f t="shared" si="8"/>
        <v>0</v>
      </c>
      <c r="AE38" s="188" t="str">
        <f t="shared" si="9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IF(C38="","",INDEX([1]구분표!$I$2:$I$311, MATCH(1,([1]구분표!$E$2:$E$311='071추일입'!B38)*([1]구분표!$F$2:$F$311='071추일입'!C38)*([1]구분표!$G$2:$G$311='071추일입'!A38),0)))</f>
        <v/>
      </c>
      <c r="AK38" s="188"/>
      <c r="AM38" s="186">
        <f>IF(AG38="",0,SUMIFS('071추일출'!$Z$6:$Z$18,'071추일출'!$AI$6:$AI$18,'071추일입'!$AG38))</f>
        <v>0</v>
      </c>
      <c r="AN38" s="186" t="str">
        <f>IF(AG38="","",COUNTIFS('071추일출'!$AI$6:$AI$18,'071추일입'!AG38))</f>
        <v/>
      </c>
      <c r="AO38" s="188" t="str">
        <f t="shared" si="10"/>
        <v>OK</v>
      </c>
      <c r="AQ38" s="186">
        <f>IF(AG38="",0,SUMIFS('071추일출'!$AE$6:$AE$18,'071추일출'!$AI$6:$AI$18,'071추일입'!$AG38))</f>
        <v>0</v>
      </c>
      <c r="AR38" s="186" t="str">
        <f>IF(AG38="","",COUNTIFS('071추일출'!$AI$6:$AI$18,AG38))</f>
        <v/>
      </c>
      <c r="AS38" s="188" t="str">
        <f t="shared" si="11"/>
        <v>OK</v>
      </c>
    </row>
    <row r="39" spans="1:45" ht="50.1" customHeight="1">
      <c r="A39" s="486"/>
      <c r="B39" s="487"/>
      <c r="C39" s="488"/>
      <c r="D39" s="489"/>
      <c r="E39" s="490"/>
      <c r="F39" s="489"/>
      <c r="G39" s="501"/>
      <c r="H39" s="186"/>
      <c r="I39" s="186"/>
      <c r="J39" s="229" t="str">
        <f t="shared" si="12"/>
        <v/>
      </c>
      <c r="K39" s="186"/>
      <c r="L39" s="492"/>
      <c r="M39" s="493">
        <f t="shared" si="2"/>
        <v>0</v>
      </c>
      <c r="N39" s="494"/>
      <c r="O39" s="495"/>
      <c r="P39" s="496">
        <f t="shared" si="3"/>
        <v>0</v>
      </c>
      <c r="Q39" s="187" t="str">
        <f t="shared" si="13"/>
        <v>X</v>
      </c>
      <c r="R39" s="187"/>
      <c r="S39" s="187"/>
      <c r="T39" s="497"/>
      <c r="U39" s="188"/>
      <c r="W39" s="188"/>
      <c r="X39" s="186">
        <f t="shared" si="4"/>
        <v>0</v>
      </c>
      <c r="Y39" s="186">
        <f t="shared" si="5"/>
        <v>0</v>
      </c>
      <c r="Z39" s="188" t="str">
        <f t="shared" si="6"/>
        <v>OK</v>
      </c>
      <c r="AB39" s="188"/>
      <c r="AC39" s="186">
        <f t="shared" si="7"/>
        <v>0</v>
      </c>
      <c r="AD39" s="186">
        <f t="shared" si="8"/>
        <v>0</v>
      </c>
      <c r="AE39" s="188" t="str">
        <f t="shared" si="9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IF(C39="","",INDEX([1]구분표!$I$2:$I$311, MATCH(1,([1]구분표!$E$2:$E$311='071추일입'!B39)*([1]구분표!$F$2:$F$311='071추일입'!C39)*([1]구분표!$G$2:$G$311='071추일입'!A39),0)))</f>
        <v/>
      </c>
      <c r="AK39" s="188"/>
      <c r="AM39" s="186">
        <f>IF(AG39="",0,SUMIFS('071추일출'!$Z$6:$Z$18,'071추일출'!$AI$6:$AI$18,'071추일입'!$AG39))</f>
        <v>0</v>
      </c>
      <c r="AN39" s="186" t="str">
        <f>IF(AG39="","",COUNTIFS('071추일출'!$AI$6:$AI$18,'071추일입'!AG39))</f>
        <v/>
      </c>
      <c r="AO39" s="188" t="str">
        <f t="shared" si="10"/>
        <v>OK</v>
      </c>
      <c r="AQ39" s="186">
        <f>IF(AG39="",0,SUMIFS('071추일출'!$AE$6:$AE$18,'071추일출'!$AI$6:$AI$18,'071추일입'!$AG39))</f>
        <v>0</v>
      </c>
      <c r="AR39" s="186" t="str">
        <f>IF(AG39="","",COUNTIFS('071추일출'!$AI$6:$AI$18,AG39))</f>
        <v/>
      </c>
      <c r="AS39" s="188" t="str">
        <f t="shared" si="11"/>
        <v>OK</v>
      </c>
    </row>
    <row r="40" spans="1:45" ht="50.1" customHeight="1">
      <c r="A40" s="486"/>
      <c r="B40" s="487"/>
      <c r="C40" s="488"/>
      <c r="D40" s="489"/>
      <c r="E40" s="490"/>
      <c r="F40" s="489"/>
      <c r="G40" s="501"/>
      <c r="H40" s="186"/>
      <c r="I40" s="186"/>
      <c r="J40" s="229" t="str">
        <f t="shared" si="12"/>
        <v/>
      </c>
      <c r="K40" s="186"/>
      <c r="L40" s="492"/>
      <c r="M40" s="493">
        <f t="shared" si="2"/>
        <v>0</v>
      </c>
      <c r="N40" s="494"/>
      <c r="O40" s="495"/>
      <c r="P40" s="496">
        <f t="shared" si="3"/>
        <v>0</v>
      </c>
      <c r="Q40" s="187" t="str">
        <f t="shared" si="13"/>
        <v>X</v>
      </c>
      <c r="R40" s="187"/>
      <c r="S40" s="187"/>
      <c r="T40" s="497"/>
      <c r="U40" s="188"/>
      <c r="W40" s="188"/>
      <c r="X40" s="186">
        <f t="shared" si="4"/>
        <v>0</v>
      </c>
      <c r="Y40" s="186">
        <f t="shared" si="5"/>
        <v>0</v>
      </c>
      <c r="Z40" s="188" t="str">
        <f t="shared" si="6"/>
        <v>OK</v>
      </c>
      <c r="AB40" s="188"/>
      <c r="AC40" s="186">
        <f t="shared" si="7"/>
        <v>0</v>
      </c>
      <c r="AD40" s="186">
        <f t="shared" si="8"/>
        <v>0</v>
      </c>
      <c r="AE40" s="188" t="str">
        <f t="shared" si="9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IF(C40="","",INDEX([1]구분표!$I$2:$I$311, MATCH(1,([1]구분표!$E$2:$E$311='071추일입'!B40)*([1]구분표!$F$2:$F$311='071추일입'!C40)*([1]구분표!$G$2:$G$311='071추일입'!A40),0)))</f>
        <v/>
      </c>
      <c r="AK40" s="188"/>
      <c r="AM40" s="186">
        <f>IF(AG40="",0,SUMIFS('071추일출'!$Z$6:$Z$18,'071추일출'!$AI$6:$AI$18,'071추일입'!$AG40))</f>
        <v>0</v>
      </c>
      <c r="AN40" s="186" t="str">
        <f>IF(AG40="","",COUNTIFS('071추일출'!$AI$6:$AI$18,'071추일입'!AG40))</f>
        <v/>
      </c>
      <c r="AO40" s="188" t="str">
        <f t="shared" si="10"/>
        <v>OK</v>
      </c>
      <c r="AQ40" s="186">
        <f>IF(AG40="",0,SUMIFS('071추일출'!$AE$6:$AE$18,'071추일출'!$AI$6:$AI$18,'071추일입'!$AG40))</f>
        <v>0</v>
      </c>
      <c r="AR40" s="186" t="str">
        <f>IF(AG40="","",COUNTIFS('071추일출'!$AI$6:$AI$18,AG40))</f>
        <v/>
      </c>
      <c r="AS40" s="188" t="str">
        <f t="shared" si="11"/>
        <v>OK</v>
      </c>
    </row>
    <row r="41" spans="1:45" ht="50.1" customHeight="1">
      <c r="A41" s="486"/>
      <c r="B41" s="487"/>
      <c r="C41" s="488"/>
      <c r="D41" s="489"/>
      <c r="E41" s="490"/>
      <c r="F41" s="489"/>
      <c r="G41" s="501"/>
      <c r="H41" s="186"/>
      <c r="I41" s="186"/>
      <c r="J41" s="229" t="str">
        <f t="shared" si="12"/>
        <v/>
      </c>
      <c r="K41" s="186"/>
      <c r="L41" s="492"/>
      <c r="M41" s="493">
        <f t="shared" si="2"/>
        <v>0</v>
      </c>
      <c r="N41" s="494"/>
      <c r="O41" s="495"/>
      <c r="P41" s="496">
        <f t="shared" si="3"/>
        <v>0</v>
      </c>
      <c r="Q41" s="187" t="str">
        <f t="shared" si="13"/>
        <v>X</v>
      </c>
      <c r="R41" s="187"/>
      <c r="S41" s="187"/>
      <c r="T41" s="497"/>
      <c r="U41" s="188"/>
      <c r="W41" s="188"/>
      <c r="X41" s="186">
        <f t="shared" si="4"/>
        <v>0</v>
      </c>
      <c r="Y41" s="186">
        <f t="shared" si="5"/>
        <v>0</v>
      </c>
      <c r="Z41" s="188" t="str">
        <f t="shared" si="6"/>
        <v>OK</v>
      </c>
      <c r="AB41" s="188"/>
      <c r="AC41" s="186">
        <f t="shared" si="7"/>
        <v>0</v>
      </c>
      <c r="AD41" s="186">
        <f t="shared" si="8"/>
        <v>0</v>
      </c>
      <c r="AE41" s="188" t="str">
        <f t="shared" si="9"/>
        <v>OK</v>
      </c>
      <c r="AG41" s="188" t="str">
        <f>IF(AI41="","",IF(W41="도비","세입없음",CONCATENATE(AI41,"-",COUNTIF($AI$7:AI41,AI41))))</f>
        <v/>
      </c>
      <c r="AI41" s="188" t="str">
        <f t="array" ref="AI41">IF(C41="","",INDEX([1]구분표!$I$2:$I$311, MATCH(1,([1]구분표!$E$2:$E$311='071추일입'!B41)*([1]구분표!$F$2:$F$311='071추일입'!C41)*([1]구분표!$G$2:$G$311='071추일입'!A41),0)))</f>
        <v/>
      </c>
      <c r="AK41" s="188"/>
      <c r="AM41" s="186">
        <f>IF(AG41="",0,SUMIFS('071추일출'!$Z$6:$Z$18,'071추일출'!$AI$6:$AI$18,'071추일입'!$AG41))</f>
        <v>0</v>
      </c>
      <c r="AN41" s="186" t="str">
        <f>IF(AG41="","",COUNTIFS('071추일출'!$AI$6:$AI$18,'071추일입'!AG41))</f>
        <v/>
      </c>
      <c r="AO41" s="188" t="str">
        <f t="shared" si="10"/>
        <v>OK</v>
      </c>
      <c r="AQ41" s="186">
        <f>IF(AG41="",0,SUMIFS('071추일출'!$AE$6:$AE$18,'071추일출'!$AI$6:$AI$18,'071추일입'!$AG41))</f>
        <v>0</v>
      </c>
      <c r="AR41" s="186" t="str">
        <f>IF(AG41="","",COUNTIFS('071추일출'!$AI$6:$AI$18,AG41))</f>
        <v/>
      </c>
      <c r="AS41" s="188" t="str">
        <f t="shared" si="11"/>
        <v>OK</v>
      </c>
    </row>
    <row r="42" spans="1:45" ht="50.1" customHeight="1">
      <c r="A42" s="486"/>
      <c r="B42" s="487"/>
      <c r="C42" s="488"/>
      <c r="D42" s="489"/>
      <c r="E42" s="490"/>
      <c r="F42" s="489"/>
      <c r="G42" s="501"/>
      <c r="H42" s="186"/>
      <c r="I42" s="186"/>
      <c r="J42" s="229" t="str">
        <f t="shared" si="12"/>
        <v/>
      </c>
      <c r="K42" s="186"/>
      <c r="L42" s="492"/>
      <c r="M42" s="493">
        <f t="shared" si="2"/>
        <v>0</v>
      </c>
      <c r="N42" s="494"/>
      <c r="O42" s="495"/>
      <c r="P42" s="496">
        <f t="shared" si="3"/>
        <v>0</v>
      </c>
      <c r="Q42" s="187" t="str">
        <f t="shared" si="13"/>
        <v>X</v>
      </c>
      <c r="R42" s="187"/>
      <c r="S42" s="187"/>
      <c r="T42" s="497"/>
      <c r="U42" s="188"/>
      <c r="W42" s="188"/>
      <c r="X42" s="186">
        <f t="shared" si="4"/>
        <v>0</v>
      </c>
      <c r="Y42" s="186">
        <f t="shared" si="5"/>
        <v>0</v>
      </c>
      <c r="Z42" s="188" t="str">
        <f t="shared" si="6"/>
        <v>OK</v>
      </c>
      <c r="AB42" s="188"/>
      <c r="AC42" s="186">
        <f t="shared" si="7"/>
        <v>0</v>
      </c>
      <c r="AD42" s="186">
        <f t="shared" si="8"/>
        <v>0</v>
      </c>
      <c r="AE42" s="188" t="str">
        <f t="shared" si="9"/>
        <v>OK</v>
      </c>
      <c r="AG42" s="188" t="str">
        <f>IF(AI42="","",IF(W42="도비","세입없음",CONCATENATE(AI42,"-",COUNTIF($AI$7:AI42,AI42))))</f>
        <v/>
      </c>
      <c r="AI42" s="188" t="str">
        <f t="array" ref="AI42">IF(C42="","",INDEX([1]구분표!$I$2:$I$311, MATCH(1,([1]구분표!$E$2:$E$311='071추일입'!B42)*([1]구분표!$F$2:$F$311='071추일입'!C42)*([1]구분표!$G$2:$G$311='071추일입'!A42),0)))</f>
        <v/>
      </c>
      <c r="AK42" s="188"/>
      <c r="AM42" s="186">
        <f>IF(AG42="",0,SUMIFS('071추일출'!$Z$6:$Z$18,'071추일출'!$AI$6:$AI$18,'071추일입'!$AG42))</f>
        <v>0</v>
      </c>
      <c r="AN42" s="186" t="str">
        <f>IF(AG42="","",COUNTIFS('071추일출'!$AI$6:$AI$18,'071추일입'!AG42))</f>
        <v/>
      </c>
      <c r="AO42" s="188" t="str">
        <f t="shared" si="10"/>
        <v>OK</v>
      </c>
      <c r="AQ42" s="186">
        <f>IF(AG42="",0,SUMIFS('071추일출'!$AE$6:$AE$18,'071추일출'!$AI$6:$AI$18,'071추일입'!$AG42))</f>
        <v>0</v>
      </c>
      <c r="AR42" s="186" t="str">
        <f>IF(AG42="","",COUNTIFS('071추일출'!$AI$6:$AI$18,AG42))</f>
        <v/>
      </c>
      <c r="AS42" s="188" t="str">
        <f t="shared" si="11"/>
        <v>OK</v>
      </c>
    </row>
    <row r="43" spans="1:45" ht="50.1" customHeight="1">
      <c r="A43" s="486"/>
      <c r="B43" s="487"/>
      <c r="C43" s="488"/>
      <c r="D43" s="489"/>
      <c r="E43" s="490"/>
      <c r="F43" s="489"/>
      <c r="G43" s="501"/>
      <c r="H43" s="186"/>
      <c r="I43" s="186"/>
      <c r="J43" s="229" t="str">
        <f t="shared" si="12"/>
        <v/>
      </c>
      <c r="K43" s="186"/>
      <c r="L43" s="492"/>
      <c r="M43" s="493">
        <f t="shared" si="2"/>
        <v>0</v>
      </c>
      <c r="N43" s="494"/>
      <c r="O43" s="495"/>
      <c r="P43" s="496">
        <f t="shared" si="3"/>
        <v>0</v>
      </c>
      <c r="Q43" s="187" t="str">
        <f t="shared" si="13"/>
        <v>X</v>
      </c>
      <c r="R43" s="187"/>
      <c r="S43" s="187"/>
      <c r="T43" s="497"/>
      <c r="U43" s="188"/>
      <c r="W43" s="188"/>
      <c r="X43" s="186">
        <f t="shared" si="4"/>
        <v>0</v>
      </c>
      <c r="Y43" s="186">
        <f t="shared" si="5"/>
        <v>0</v>
      </c>
      <c r="Z43" s="188" t="str">
        <f t="shared" si="6"/>
        <v>OK</v>
      </c>
      <c r="AB43" s="188"/>
      <c r="AC43" s="186">
        <f t="shared" si="7"/>
        <v>0</v>
      </c>
      <c r="AD43" s="186">
        <f t="shared" si="8"/>
        <v>0</v>
      </c>
      <c r="AE43" s="188" t="str">
        <f t="shared" si="9"/>
        <v>OK</v>
      </c>
      <c r="AG43" s="188" t="str">
        <f>IF(AI43="","",IF(W43="도비","세입없음",CONCATENATE(AI43,"-",COUNTIF($AI$7:AI43,AI43))))</f>
        <v/>
      </c>
      <c r="AI43" s="188" t="str">
        <f t="array" ref="AI43">IF(C43="","",INDEX([1]구분표!$I$2:$I$311, MATCH(1,([1]구분표!$E$2:$E$311='071추일입'!B43)*([1]구분표!$F$2:$F$311='071추일입'!C43)*([1]구분표!$G$2:$G$311='071추일입'!A43),0)))</f>
        <v/>
      </c>
      <c r="AK43" s="188"/>
      <c r="AM43" s="186">
        <f>IF(AG43="",0,SUMIFS('071추일출'!$Z$6:$Z$18,'071추일출'!$AI$6:$AI$18,'071추일입'!$AG43))</f>
        <v>0</v>
      </c>
      <c r="AN43" s="186" t="str">
        <f>IF(AG43="","",COUNTIFS('071추일출'!$AI$6:$AI$18,'071추일입'!AG43))</f>
        <v/>
      </c>
      <c r="AO43" s="188" t="str">
        <f t="shared" si="10"/>
        <v>OK</v>
      </c>
      <c r="AQ43" s="186">
        <f>IF(AG43="",0,SUMIFS('071추일출'!$AE$6:$AE$18,'071추일출'!$AI$6:$AI$18,'071추일입'!$AG43))</f>
        <v>0</v>
      </c>
      <c r="AR43" s="186" t="str">
        <f>IF(AG43="","",COUNTIFS('071추일출'!$AI$6:$AI$18,AG43))</f>
        <v/>
      </c>
      <c r="AS43" s="188" t="str">
        <f t="shared" si="11"/>
        <v>OK</v>
      </c>
    </row>
    <row r="44" spans="1:45" ht="50.1" customHeight="1">
      <c r="A44" s="486"/>
      <c r="B44" s="487"/>
      <c r="C44" s="488"/>
      <c r="D44" s="489"/>
      <c r="E44" s="490"/>
      <c r="F44" s="489"/>
      <c r="G44" s="501"/>
      <c r="H44" s="186"/>
      <c r="I44" s="186"/>
      <c r="J44" s="229" t="str">
        <f t="shared" si="12"/>
        <v/>
      </c>
      <c r="K44" s="186"/>
      <c r="L44" s="492"/>
      <c r="M44" s="493">
        <f t="shared" si="2"/>
        <v>0</v>
      </c>
      <c r="N44" s="494"/>
      <c r="O44" s="495"/>
      <c r="P44" s="496">
        <f t="shared" si="3"/>
        <v>0</v>
      </c>
      <c r="Q44" s="187" t="str">
        <f t="shared" si="13"/>
        <v>X</v>
      </c>
      <c r="R44" s="187"/>
      <c r="S44" s="187"/>
      <c r="T44" s="497"/>
      <c r="U44" s="188"/>
      <c r="W44" s="188"/>
      <c r="X44" s="186">
        <f t="shared" si="4"/>
        <v>0</v>
      </c>
      <c r="Y44" s="186">
        <f t="shared" si="5"/>
        <v>0</v>
      </c>
      <c r="Z44" s="188" t="str">
        <f t="shared" si="6"/>
        <v>OK</v>
      </c>
      <c r="AB44" s="188"/>
      <c r="AC44" s="186">
        <f t="shared" si="7"/>
        <v>0</v>
      </c>
      <c r="AD44" s="186">
        <f t="shared" si="8"/>
        <v>0</v>
      </c>
      <c r="AE44" s="188" t="str">
        <f t="shared" si="9"/>
        <v>OK</v>
      </c>
      <c r="AG44" s="188" t="str">
        <f>IF(AI44="","",IF(W44="도비","세입없음",CONCATENATE(AI44,"-",COUNTIF($AI$7:AI44,AI44))))</f>
        <v/>
      </c>
      <c r="AI44" s="188" t="str">
        <f t="array" ref="AI44">IF(C44="","",INDEX([1]구분표!$I$2:$I$311, MATCH(1,([1]구분표!$E$2:$E$311='071추일입'!B44)*([1]구분표!$F$2:$F$311='071추일입'!C44)*([1]구분표!$G$2:$G$311='071추일입'!A44),0)))</f>
        <v/>
      </c>
      <c r="AK44" s="188"/>
      <c r="AM44" s="186">
        <f>IF(AG44="",0,SUMIFS('071추일출'!$Z$6:$Z$18,'071추일출'!$AI$6:$AI$18,'071추일입'!$AG44))</f>
        <v>0</v>
      </c>
      <c r="AN44" s="186" t="str">
        <f>IF(AG44="","",COUNTIFS('071추일출'!$AI$6:$AI$18,'071추일입'!AG44))</f>
        <v/>
      </c>
      <c r="AO44" s="188" t="str">
        <f t="shared" si="10"/>
        <v>OK</v>
      </c>
      <c r="AQ44" s="186">
        <f>IF(AG44="",0,SUMIFS('071추일출'!$AE$6:$AE$18,'071추일출'!$AI$6:$AI$18,'071추일입'!$AG44))</f>
        <v>0</v>
      </c>
      <c r="AR44" s="186" t="str">
        <f>IF(AG44="","",COUNTIFS('071추일출'!$AI$6:$AI$18,AG44))</f>
        <v/>
      </c>
      <c r="AS44" s="188" t="str">
        <f t="shared" si="11"/>
        <v>OK</v>
      </c>
    </row>
    <row r="45" spans="1:45" ht="50.1" customHeight="1">
      <c r="A45" s="486"/>
      <c r="B45" s="487"/>
      <c r="C45" s="488"/>
      <c r="D45" s="489"/>
      <c r="E45" s="490"/>
      <c r="F45" s="489"/>
      <c r="G45" s="501"/>
      <c r="H45" s="186"/>
      <c r="I45" s="186"/>
      <c r="J45" s="229" t="str">
        <f t="shared" si="12"/>
        <v/>
      </c>
      <c r="K45" s="186"/>
      <c r="L45" s="492"/>
      <c r="M45" s="493">
        <f t="shared" si="2"/>
        <v>0</v>
      </c>
      <c r="N45" s="494"/>
      <c r="O45" s="495"/>
      <c r="P45" s="496">
        <f t="shared" si="3"/>
        <v>0</v>
      </c>
      <c r="Q45" s="187" t="str">
        <f t="shared" si="13"/>
        <v>X</v>
      </c>
      <c r="R45" s="187"/>
      <c r="S45" s="187"/>
      <c r="T45" s="497"/>
      <c r="U45" s="188"/>
      <c r="W45" s="188"/>
      <c r="X45" s="186">
        <f t="shared" si="4"/>
        <v>0</v>
      </c>
      <c r="Y45" s="186">
        <f t="shared" si="5"/>
        <v>0</v>
      </c>
      <c r="Z45" s="188" t="str">
        <f t="shared" si="6"/>
        <v>OK</v>
      </c>
      <c r="AB45" s="188"/>
      <c r="AC45" s="186">
        <f t="shared" si="7"/>
        <v>0</v>
      </c>
      <c r="AD45" s="186">
        <f t="shared" si="8"/>
        <v>0</v>
      </c>
      <c r="AE45" s="188" t="str">
        <f t="shared" si="9"/>
        <v>OK</v>
      </c>
      <c r="AG45" s="188" t="str">
        <f>IF(AI45="","",IF(W45="도비","세입없음",CONCATENATE(AI45,"-",COUNTIF($AI$7:AI45,AI45))))</f>
        <v/>
      </c>
      <c r="AI45" s="188" t="str">
        <f t="array" ref="AI45">IF(C45="","",INDEX([1]구분표!$I$2:$I$311, MATCH(1,([1]구분표!$E$2:$E$311='071추일입'!B45)*([1]구분표!$F$2:$F$311='071추일입'!C45)*([1]구분표!$G$2:$G$311='071추일입'!A45),0)))</f>
        <v/>
      </c>
      <c r="AK45" s="188"/>
      <c r="AM45" s="186">
        <f>IF(AG45="",0,SUMIFS('071추일출'!$Z$6:$Z$18,'071추일출'!$AI$6:$AI$18,'071추일입'!$AG45))</f>
        <v>0</v>
      </c>
      <c r="AN45" s="186" t="str">
        <f>IF(AG45="","",COUNTIFS('071추일출'!$AI$6:$AI$18,'071추일입'!AG45))</f>
        <v/>
      </c>
      <c r="AO45" s="188" t="str">
        <f t="shared" si="10"/>
        <v>OK</v>
      </c>
      <c r="AQ45" s="186">
        <f>IF(AG45="",0,SUMIFS('071추일출'!$AE$6:$AE$18,'071추일출'!$AI$6:$AI$18,'071추일입'!$AG45))</f>
        <v>0</v>
      </c>
      <c r="AR45" s="186" t="str">
        <f>IF(AG45="","",COUNTIFS('071추일출'!$AI$6:$AI$18,AG45))</f>
        <v/>
      </c>
      <c r="AS45" s="188" t="str">
        <f t="shared" si="11"/>
        <v>OK</v>
      </c>
    </row>
    <row r="46" spans="1:45" ht="50.1" customHeight="1">
      <c r="A46" s="486"/>
      <c r="B46" s="487"/>
      <c r="C46" s="488"/>
      <c r="D46" s="489"/>
      <c r="E46" s="490"/>
      <c r="F46" s="489"/>
      <c r="G46" s="491"/>
      <c r="H46" s="186"/>
      <c r="I46" s="186"/>
      <c r="J46" s="229" t="str">
        <f t="shared" si="12"/>
        <v/>
      </c>
      <c r="K46" s="186"/>
      <c r="L46" s="492"/>
      <c r="M46" s="493">
        <f t="shared" si="2"/>
        <v>0</v>
      </c>
      <c r="N46" s="494"/>
      <c r="O46" s="495"/>
      <c r="P46" s="496">
        <f t="shared" si="3"/>
        <v>0</v>
      </c>
      <c r="Q46" s="187" t="str">
        <f t="shared" si="13"/>
        <v>X</v>
      </c>
      <c r="R46" s="187"/>
      <c r="S46" s="187"/>
      <c r="T46" s="497"/>
      <c r="U46" s="188"/>
      <c r="W46" s="188"/>
      <c r="X46" s="186">
        <f t="shared" si="4"/>
        <v>0</v>
      </c>
      <c r="Y46" s="186">
        <f t="shared" si="5"/>
        <v>0</v>
      </c>
      <c r="Z46" s="188" t="str">
        <f t="shared" si="6"/>
        <v>OK</v>
      </c>
      <c r="AB46" s="188"/>
      <c r="AC46" s="186">
        <f t="shared" si="7"/>
        <v>0</v>
      </c>
      <c r="AD46" s="186">
        <f t="shared" si="8"/>
        <v>0</v>
      </c>
      <c r="AE46" s="188" t="str">
        <f t="shared" si="9"/>
        <v>OK</v>
      </c>
      <c r="AG46" s="188" t="str">
        <f>IF(AI46="","",IF(W46="도비","세입없음",CONCATENATE(AI46,"-",COUNTIF($AI$7:AI46,AI46))))</f>
        <v/>
      </c>
      <c r="AI46" s="188" t="str">
        <f t="array" ref="AI46">IF(C46="","",INDEX([1]구분표!$I$2:$I$311, MATCH(1,([1]구분표!$E$2:$E$311='071추일입'!B46)*([1]구분표!$F$2:$F$311='071추일입'!C46)*([1]구분표!$G$2:$G$311='071추일입'!A46),0)))</f>
        <v/>
      </c>
      <c r="AK46" s="188"/>
      <c r="AM46" s="186">
        <f>IF(AG46="",0,SUMIFS('071추일출'!$Z$6:$Z$18,'071추일출'!$AI$6:$AI$18,'071추일입'!$AG46))</f>
        <v>0</v>
      </c>
      <c r="AN46" s="186" t="str">
        <f>IF(AG46="","",COUNTIFS('071추일출'!$AI$6:$AI$18,'071추일입'!AG46))</f>
        <v/>
      </c>
      <c r="AO46" s="188" t="str">
        <f t="shared" si="10"/>
        <v>OK</v>
      </c>
      <c r="AQ46" s="186">
        <f>IF(AG46="",0,SUMIFS('071추일출'!$AE$6:$AE$18,'071추일출'!$AI$6:$AI$18,'071추일입'!$AG46))</f>
        <v>0</v>
      </c>
      <c r="AR46" s="186" t="str">
        <f>IF(AG46="","",COUNTIFS('071추일출'!$AI$6:$AI$18,AG46))</f>
        <v/>
      </c>
      <c r="AS46" s="188" t="str">
        <f t="shared" si="11"/>
        <v>OK</v>
      </c>
    </row>
    <row r="47" spans="1:45" ht="50.1" customHeight="1">
      <c r="A47" s="486"/>
      <c r="B47" s="487"/>
      <c r="C47" s="488"/>
      <c r="D47" s="489"/>
      <c r="E47" s="490"/>
      <c r="F47" s="489"/>
      <c r="G47" s="491"/>
      <c r="H47" s="186"/>
      <c r="I47" s="186"/>
      <c r="J47" s="229" t="str">
        <f t="shared" si="12"/>
        <v/>
      </c>
      <c r="K47" s="186"/>
      <c r="L47" s="492"/>
      <c r="M47" s="493">
        <f t="shared" si="2"/>
        <v>0</v>
      </c>
      <c r="N47" s="494"/>
      <c r="O47" s="495"/>
      <c r="P47" s="496">
        <f t="shared" si="3"/>
        <v>0</v>
      </c>
      <c r="Q47" s="187" t="str">
        <f t="shared" si="13"/>
        <v>X</v>
      </c>
      <c r="R47" s="187"/>
      <c r="S47" s="187"/>
      <c r="T47" s="497"/>
      <c r="U47" s="188"/>
      <c r="W47" s="188"/>
      <c r="X47" s="186">
        <f t="shared" si="4"/>
        <v>0</v>
      </c>
      <c r="Y47" s="186">
        <f t="shared" si="5"/>
        <v>0</v>
      </c>
      <c r="Z47" s="188" t="str">
        <f t="shared" si="6"/>
        <v>OK</v>
      </c>
      <c r="AB47" s="188"/>
      <c r="AC47" s="186">
        <f t="shared" si="7"/>
        <v>0</v>
      </c>
      <c r="AD47" s="186">
        <f t="shared" si="8"/>
        <v>0</v>
      </c>
      <c r="AE47" s="188" t="str">
        <f t="shared" si="9"/>
        <v>OK</v>
      </c>
      <c r="AG47" s="188" t="str">
        <f>IF(AI47="","",IF(W47="도비","세입없음",CONCATENATE(AI47,"-",COUNTIF($AI$7:AI47,AI47))))</f>
        <v/>
      </c>
      <c r="AI47" s="188" t="str">
        <f t="array" ref="AI47">IF(C47="","",INDEX([1]구분표!$I$2:$I$311, MATCH(1,([1]구분표!$E$2:$E$311='071추일입'!B47)*([1]구분표!$F$2:$F$311='071추일입'!C47)*([1]구분표!$G$2:$G$311='071추일입'!A47),0)))</f>
        <v/>
      </c>
      <c r="AK47" s="188"/>
      <c r="AM47" s="186">
        <f>IF(AG47="",0,SUMIFS('071추일출'!$Z$6:$Z$18,'071추일출'!$AI$6:$AI$18,'071추일입'!$AG47))</f>
        <v>0</v>
      </c>
      <c r="AN47" s="186" t="str">
        <f>IF(AG47="","",COUNTIFS('071추일출'!$AI$6:$AI$18,'071추일입'!AG47))</f>
        <v/>
      </c>
      <c r="AO47" s="188" t="str">
        <f t="shared" si="10"/>
        <v>OK</v>
      </c>
      <c r="AQ47" s="186">
        <f>IF(AG47="",0,SUMIFS('071추일출'!$AE$6:$AE$18,'071추일출'!$AI$6:$AI$18,'071추일입'!$AG47))</f>
        <v>0</v>
      </c>
      <c r="AR47" s="186" t="str">
        <f>IF(AG47="","",COUNTIFS('071추일출'!$AI$6:$AI$18,AG47))</f>
        <v/>
      </c>
      <c r="AS47" s="188" t="str">
        <f t="shared" si="11"/>
        <v>OK</v>
      </c>
    </row>
    <row r="48" spans="1:45" ht="50.1" customHeight="1">
      <c r="A48" s="486"/>
      <c r="B48" s="487"/>
      <c r="C48" s="488"/>
      <c r="D48" s="489"/>
      <c r="E48" s="490"/>
      <c r="F48" s="489"/>
      <c r="G48" s="491"/>
      <c r="H48" s="186"/>
      <c r="I48" s="186"/>
      <c r="J48" s="229" t="str">
        <f t="shared" si="12"/>
        <v/>
      </c>
      <c r="K48" s="186"/>
      <c r="L48" s="492"/>
      <c r="M48" s="493">
        <f t="shared" si="2"/>
        <v>0</v>
      </c>
      <c r="N48" s="494"/>
      <c r="O48" s="495"/>
      <c r="P48" s="496">
        <f t="shared" si="3"/>
        <v>0</v>
      </c>
      <c r="Q48" s="187" t="str">
        <f t="shared" si="13"/>
        <v>X</v>
      </c>
      <c r="R48" s="187"/>
      <c r="S48" s="187"/>
      <c r="T48" s="497"/>
      <c r="U48" s="188"/>
      <c r="W48" s="188"/>
      <c r="X48" s="186">
        <f t="shared" si="4"/>
        <v>0</v>
      </c>
      <c r="Y48" s="186">
        <f t="shared" si="5"/>
        <v>0</v>
      </c>
      <c r="Z48" s="188" t="str">
        <f t="shared" si="6"/>
        <v>OK</v>
      </c>
      <c r="AB48" s="188"/>
      <c r="AC48" s="186">
        <f t="shared" si="7"/>
        <v>0</v>
      </c>
      <c r="AD48" s="186">
        <f t="shared" si="8"/>
        <v>0</v>
      </c>
      <c r="AE48" s="188" t="str">
        <f t="shared" si="9"/>
        <v>OK</v>
      </c>
      <c r="AG48" s="188" t="str">
        <f>IF(AI48="","",IF(W48="도비","세입없음",CONCATENATE(AI48,"-",COUNTIF($AI$7:AI48,AI48))))</f>
        <v/>
      </c>
      <c r="AI48" s="188" t="str">
        <f t="array" ref="AI48">IF(C48="","",INDEX([1]구분표!$I$2:$I$311, MATCH(1,([1]구분표!$E$2:$E$311='071추일입'!B48)*([1]구분표!$F$2:$F$311='071추일입'!C48)*([1]구분표!$G$2:$G$311='071추일입'!A48),0)))</f>
        <v/>
      </c>
      <c r="AK48" s="188"/>
      <c r="AM48" s="186">
        <f>IF(AG48="",0,SUMIFS('071추일출'!$Z$6:$Z$18,'071추일출'!$AI$6:$AI$18,'071추일입'!$AG48))</f>
        <v>0</v>
      </c>
      <c r="AN48" s="186" t="str">
        <f>IF(AG48="","",COUNTIFS('071추일출'!$AI$6:$AI$18,'071추일입'!AG48))</f>
        <v/>
      </c>
      <c r="AO48" s="188" t="str">
        <f t="shared" si="10"/>
        <v>OK</v>
      </c>
      <c r="AQ48" s="186">
        <f>IF(AG48="",0,SUMIFS('071추일출'!$AE$6:$AE$18,'071추일출'!$AI$6:$AI$18,'071추일입'!$AG48))</f>
        <v>0</v>
      </c>
      <c r="AR48" s="186" t="str">
        <f>IF(AG48="","",COUNTIFS('071추일출'!$AI$6:$AI$18,AG48))</f>
        <v/>
      </c>
      <c r="AS48" s="188" t="str">
        <f t="shared" si="11"/>
        <v>OK</v>
      </c>
    </row>
    <row r="49" spans="1:45" ht="50.1" customHeight="1">
      <c r="A49" s="486"/>
      <c r="B49" s="487"/>
      <c r="C49" s="488"/>
      <c r="D49" s="489"/>
      <c r="E49" s="490"/>
      <c r="F49" s="489"/>
      <c r="G49" s="491"/>
      <c r="H49" s="186"/>
      <c r="I49" s="186"/>
      <c r="J49" s="229" t="str">
        <f t="shared" si="12"/>
        <v/>
      </c>
      <c r="K49" s="186"/>
      <c r="L49" s="492"/>
      <c r="M49" s="493">
        <f t="shared" si="2"/>
        <v>0</v>
      </c>
      <c r="N49" s="494"/>
      <c r="O49" s="495"/>
      <c r="P49" s="496">
        <f t="shared" si="3"/>
        <v>0</v>
      </c>
      <c r="Q49" s="187" t="str">
        <f t="shared" si="13"/>
        <v>X</v>
      </c>
      <c r="R49" s="187"/>
      <c r="S49" s="187"/>
      <c r="T49" s="497"/>
      <c r="U49" s="188"/>
      <c r="W49" s="188"/>
      <c r="X49" s="186">
        <f t="shared" si="4"/>
        <v>0</v>
      </c>
      <c r="Y49" s="186">
        <f t="shared" si="5"/>
        <v>0</v>
      </c>
      <c r="Z49" s="188" t="str">
        <f t="shared" si="6"/>
        <v>OK</v>
      </c>
      <c r="AB49" s="188"/>
      <c r="AC49" s="186">
        <f t="shared" si="7"/>
        <v>0</v>
      </c>
      <c r="AD49" s="186">
        <f t="shared" si="8"/>
        <v>0</v>
      </c>
      <c r="AE49" s="188" t="str">
        <f t="shared" si="9"/>
        <v>OK</v>
      </c>
      <c r="AG49" s="188" t="str">
        <f>IF(AI49="","",IF(W49="도비","세입없음",CONCATENATE(AI49,"-",COUNTIF($AI$7:AI49,AI49))))</f>
        <v/>
      </c>
      <c r="AI49" s="188" t="str">
        <f t="array" ref="AI49">IF(C49="","",INDEX([1]구분표!$I$2:$I$311, MATCH(1,([1]구분표!$E$2:$E$311='071추일입'!B49)*([1]구분표!$F$2:$F$311='071추일입'!C49)*([1]구분표!$G$2:$G$311='071추일입'!A49),0)))</f>
        <v/>
      </c>
      <c r="AK49" s="188"/>
      <c r="AM49" s="186">
        <f>IF(AG49="",0,SUMIFS('071추일출'!$Z$6:$Z$18,'071추일출'!$AI$6:$AI$18,'071추일입'!$AG49))</f>
        <v>0</v>
      </c>
      <c r="AN49" s="186" t="str">
        <f>IF(AG49="","",COUNTIFS('071추일출'!$AI$6:$AI$18,'071추일입'!AG49))</f>
        <v/>
      </c>
      <c r="AO49" s="188" t="str">
        <f t="shared" si="10"/>
        <v>OK</v>
      </c>
      <c r="AQ49" s="186">
        <f>IF(AG49="",0,SUMIFS('071추일출'!$AE$6:$AE$18,'071추일출'!$AI$6:$AI$18,'071추일입'!$AG49))</f>
        <v>0</v>
      </c>
      <c r="AR49" s="186" t="str">
        <f>IF(AG49="","",COUNTIFS('071추일출'!$AI$6:$AI$18,AG49))</f>
        <v/>
      </c>
      <c r="AS49" s="188" t="str">
        <f t="shared" si="11"/>
        <v>OK</v>
      </c>
    </row>
    <row r="50" spans="1:45" ht="50.1" customHeight="1">
      <c r="A50" s="486"/>
      <c r="B50" s="487"/>
      <c r="C50" s="488"/>
      <c r="D50" s="489"/>
      <c r="E50" s="490"/>
      <c r="F50" s="489"/>
      <c r="G50" s="491"/>
      <c r="H50" s="186"/>
      <c r="I50" s="186"/>
      <c r="J50" s="229" t="str">
        <f t="shared" si="12"/>
        <v/>
      </c>
      <c r="K50" s="186"/>
      <c r="L50" s="492"/>
      <c r="M50" s="493">
        <f t="shared" si="2"/>
        <v>0</v>
      </c>
      <c r="N50" s="494"/>
      <c r="O50" s="495"/>
      <c r="P50" s="496">
        <f t="shared" si="3"/>
        <v>0</v>
      </c>
      <c r="Q50" s="187" t="str">
        <f t="shared" si="13"/>
        <v>X</v>
      </c>
      <c r="R50" s="187"/>
      <c r="S50" s="187"/>
      <c r="T50" s="497"/>
      <c r="U50" s="188"/>
      <c r="W50" s="188"/>
      <c r="X50" s="186">
        <f t="shared" si="4"/>
        <v>0</v>
      </c>
      <c r="Y50" s="186">
        <f t="shared" si="5"/>
        <v>0</v>
      </c>
      <c r="Z50" s="188" t="str">
        <f t="shared" si="6"/>
        <v>OK</v>
      </c>
      <c r="AB50" s="188"/>
      <c r="AC50" s="186">
        <f t="shared" si="7"/>
        <v>0</v>
      </c>
      <c r="AD50" s="186">
        <f t="shared" si="8"/>
        <v>0</v>
      </c>
      <c r="AE50" s="188" t="str">
        <f t="shared" si="9"/>
        <v>OK</v>
      </c>
      <c r="AG50" s="188" t="str">
        <f>IF(AI50="","",IF(W50="도비","세입없음",CONCATENATE(AI50,"-",COUNTIF($AI$7:AI50,AI50))))</f>
        <v/>
      </c>
      <c r="AI50" s="188" t="str">
        <f t="array" ref="AI50">IF(C50="","",INDEX([1]구분표!$I$2:$I$311, MATCH(1,([1]구분표!$E$2:$E$311='071추일입'!B50)*([1]구분표!$F$2:$F$311='071추일입'!C50)*([1]구분표!$G$2:$G$311='071추일입'!A50),0)))</f>
        <v/>
      </c>
      <c r="AK50" s="188"/>
      <c r="AM50" s="186">
        <f>IF(AG50="",0,SUMIFS('071추일출'!$Z$6:$Z$18,'071추일출'!$AI$6:$AI$18,'071추일입'!$AG50))</f>
        <v>0</v>
      </c>
      <c r="AN50" s="186" t="str">
        <f>IF(AG50="","",COUNTIFS('071추일출'!$AI$6:$AI$18,'071추일입'!AG50))</f>
        <v/>
      </c>
      <c r="AO50" s="188" t="str">
        <f t="shared" si="10"/>
        <v>OK</v>
      </c>
      <c r="AQ50" s="186">
        <f>IF(AG50="",0,SUMIFS('071추일출'!$AE$6:$AE$18,'071추일출'!$AI$6:$AI$18,'071추일입'!$AG50))</f>
        <v>0</v>
      </c>
      <c r="AR50" s="186" t="str">
        <f>IF(AG50="","",COUNTIFS('071추일출'!$AI$6:$AI$18,AG50))</f>
        <v/>
      </c>
      <c r="AS50" s="188" t="str">
        <f t="shared" si="11"/>
        <v>OK</v>
      </c>
    </row>
    <row r="51" spans="1:45" ht="50.1" customHeight="1">
      <c r="A51" s="486"/>
      <c r="B51" s="487"/>
      <c r="C51" s="488"/>
      <c r="D51" s="489"/>
      <c r="E51" s="490"/>
      <c r="F51" s="489"/>
      <c r="G51" s="491"/>
      <c r="H51" s="186"/>
      <c r="I51" s="186"/>
      <c r="J51" s="229" t="str">
        <f t="shared" si="12"/>
        <v/>
      </c>
      <c r="K51" s="186"/>
      <c r="L51" s="492"/>
      <c r="M51" s="493">
        <f t="shared" si="2"/>
        <v>0</v>
      </c>
      <c r="N51" s="494"/>
      <c r="O51" s="495"/>
      <c r="P51" s="496">
        <f t="shared" si="3"/>
        <v>0</v>
      </c>
      <c r="Q51" s="187" t="str">
        <f t="shared" si="13"/>
        <v>X</v>
      </c>
      <c r="R51" s="187"/>
      <c r="S51" s="187"/>
      <c r="T51" s="497"/>
      <c r="U51" s="188"/>
      <c r="W51" s="188"/>
      <c r="X51" s="186">
        <f t="shared" si="4"/>
        <v>0</v>
      </c>
      <c r="Y51" s="186">
        <f t="shared" si="5"/>
        <v>0</v>
      </c>
      <c r="Z51" s="188" t="str">
        <f t="shared" si="6"/>
        <v>OK</v>
      </c>
      <c r="AB51" s="188"/>
      <c r="AC51" s="186">
        <f t="shared" si="7"/>
        <v>0</v>
      </c>
      <c r="AD51" s="186">
        <f t="shared" si="8"/>
        <v>0</v>
      </c>
      <c r="AE51" s="188" t="str">
        <f t="shared" si="9"/>
        <v>OK</v>
      </c>
      <c r="AG51" s="188" t="str">
        <f>IF(AI51="","",IF(W51="도비","세입없음",CONCATENATE(AI51,"-",COUNTIF($AI$7:AI51,AI51))))</f>
        <v/>
      </c>
      <c r="AI51" s="188" t="str">
        <f t="array" ref="AI51">IF(C51="","",INDEX([1]구분표!$I$2:$I$311, MATCH(1,([1]구분표!$E$2:$E$311='071추일입'!B51)*([1]구분표!$F$2:$F$311='071추일입'!C51)*([1]구분표!$G$2:$G$311='071추일입'!A51),0)))</f>
        <v/>
      </c>
      <c r="AK51" s="188"/>
      <c r="AM51" s="186">
        <f>IF(AG51="",0,SUMIFS('071추일출'!$Z$6:$Z$18,'071추일출'!$AI$6:$AI$18,'071추일입'!$AG51))</f>
        <v>0</v>
      </c>
      <c r="AN51" s="186" t="str">
        <f>IF(AG51="","",COUNTIFS('071추일출'!$AI$6:$AI$18,'071추일입'!AG51))</f>
        <v/>
      </c>
      <c r="AO51" s="188" t="str">
        <f t="shared" si="10"/>
        <v>OK</v>
      </c>
      <c r="AQ51" s="186">
        <f>IF(AG51="",0,SUMIFS('071추일출'!$AE$6:$AE$18,'071추일출'!$AI$6:$AI$18,'071추일입'!$AG51))</f>
        <v>0</v>
      </c>
      <c r="AR51" s="186" t="str">
        <f>IF(AG51="","",COUNTIFS('071추일출'!$AI$6:$AI$18,AG51))</f>
        <v/>
      </c>
      <c r="AS51" s="188" t="str">
        <f t="shared" si="11"/>
        <v>OK</v>
      </c>
    </row>
    <row r="52" spans="1:45" ht="50.1" customHeight="1">
      <c r="A52" s="486"/>
      <c r="B52" s="487"/>
      <c r="C52" s="488"/>
      <c r="D52" s="489"/>
      <c r="E52" s="490"/>
      <c r="F52" s="489"/>
      <c r="G52" s="491"/>
      <c r="H52" s="186"/>
      <c r="I52" s="186"/>
      <c r="J52" s="229" t="str">
        <f t="shared" si="12"/>
        <v/>
      </c>
      <c r="K52" s="186"/>
      <c r="L52" s="492"/>
      <c r="M52" s="493">
        <f t="shared" si="2"/>
        <v>0</v>
      </c>
      <c r="N52" s="494"/>
      <c r="O52" s="495"/>
      <c r="P52" s="496">
        <f t="shared" si="3"/>
        <v>0</v>
      </c>
      <c r="Q52" s="187" t="str">
        <f t="shared" si="13"/>
        <v>X</v>
      </c>
      <c r="R52" s="187"/>
      <c r="S52" s="187"/>
      <c r="T52" s="497"/>
      <c r="U52" s="188"/>
      <c r="W52" s="188"/>
      <c r="X52" s="186">
        <f t="shared" si="4"/>
        <v>0</v>
      </c>
      <c r="Y52" s="186">
        <f t="shared" si="5"/>
        <v>0</v>
      </c>
      <c r="Z52" s="188" t="str">
        <f t="shared" si="6"/>
        <v>OK</v>
      </c>
      <c r="AB52" s="188"/>
      <c r="AC52" s="186">
        <f t="shared" si="7"/>
        <v>0</v>
      </c>
      <c r="AD52" s="186">
        <f t="shared" si="8"/>
        <v>0</v>
      </c>
      <c r="AE52" s="188" t="str">
        <f t="shared" si="9"/>
        <v>OK</v>
      </c>
      <c r="AG52" s="188" t="str">
        <f>IF(AI52="","",IF(W52="도비","세입없음",CONCATENATE(AI52,"-",COUNTIF($AI$7:AI52,AI52))))</f>
        <v/>
      </c>
      <c r="AI52" s="188" t="str">
        <f t="array" ref="AI52">IF(C52="","",INDEX([1]구분표!$I$2:$I$311, MATCH(1,([1]구분표!$E$2:$E$311='071추일입'!B52)*([1]구분표!$F$2:$F$311='071추일입'!C52)*([1]구분표!$G$2:$G$311='071추일입'!A52),0)))</f>
        <v/>
      </c>
      <c r="AK52" s="188"/>
      <c r="AM52" s="186">
        <f>IF(AG52="",0,SUMIFS('071추일출'!$Z$6:$Z$18,'071추일출'!$AI$6:$AI$18,'071추일입'!$AG52))</f>
        <v>0</v>
      </c>
      <c r="AN52" s="186" t="str">
        <f>IF(AG52="","",COUNTIFS('071추일출'!$AI$6:$AI$18,'071추일입'!AG52))</f>
        <v/>
      </c>
      <c r="AO52" s="188" t="str">
        <f t="shared" si="10"/>
        <v>OK</v>
      </c>
      <c r="AQ52" s="186">
        <f>IF(AG52="",0,SUMIFS('071추일출'!$AE$6:$AE$18,'071추일출'!$AI$6:$AI$18,'071추일입'!$AG52))</f>
        <v>0</v>
      </c>
      <c r="AR52" s="186" t="str">
        <f>IF(AG52="","",COUNTIFS('071추일출'!$AI$6:$AI$18,AG52))</f>
        <v/>
      </c>
      <c r="AS52" s="188" t="str">
        <f t="shared" si="11"/>
        <v>OK</v>
      </c>
    </row>
    <row r="53" spans="1:45" ht="50.1" customHeight="1">
      <c r="A53" s="486"/>
      <c r="B53" s="487"/>
      <c r="C53" s="488"/>
      <c r="D53" s="489"/>
      <c r="E53" s="490"/>
      <c r="F53" s="489"/>
      <c r="G53" s="501"/>
      <c r="H53" s="186"/>
      <c r="I53" s="186"/>
      <c r="J53" s="229" t="str">
        <f t="shared" si="12"/>
        <v/>
      </c>
      <c r="K53" s="186"/>
      <c r="L53" s="492"/>
      <c r="M53" s="493">
        <f t="shared" si="2"/>
        <v>0</v>
      </c>
      <c r="N53" s="494"/>
      <c r="O53" s="495"/>
      <c r="P53" s="496">
        <f t="shared" si="3"/>
        <v>0</v>
      </c>
      <c r="Q53" s="187" t="str">
        <f t="shared" si="13"/>
        <v>X</v>
      </c>
      <c r="R53" s="187"/>
      <c r="S53" s="187"/>
      <c r="T53" s="497"/>
      <c r="U53" s="188"/>
      <c r="W53" s="188"/>
      <c r="X53" s="186">
        <f t="shared" si="4"/>
        <v>0</v>
      </c>
      <c r="Y53" s="186">
        <f t="shared" si="5"/>
        <v>0</v>
      </c>
      <c r="Z53" s="188" t="str">
        <f t="shared" si="6"/>
        <v>OK</v>
      </c>
      <c r="AB53" s="188"/>
      <c r="AC53" s="186">
        <f t="shared" si="7"/>
        <v>0</v>
      </c>
      <c r="AD53" s="186">
        <f t="shared" si="8"/>
        <v>0</v>
      </c>
      <c r="AE53" s="188" t="str">
        <f t="shared" si="9"/>
        <v>OK</v>
      </c>
      <c r="AG53" s="188" t="str">
        <f>IF(AI53="","",IF(W53="도비","세입없음",CONCATENATE(AI53,"-",COUNTIF($AI$7:AI53,AI53))))</f>
        <v/>
      </c>
      <c r="AI53" s="188" t="str">
        <f t="array" ref="AI53">IF(C53="","",INDEX([1]구분표!$I$2:$I$311, MATCH(1,([1]구분표!$E$2:$E$311='071추일입'!B53)*([1]구분표!$F$2:$F$311='071추일입'!C53)*([1]구분표!$G$2:$G$311='071추일입'!A53),0)))</f>
        <v/>
      </c>
      <c r="AK53" s="188"/>
      <c r="AM53" s="186">
        <f>IF(AG53="",0,SUMIFS('071추일출'!$Z$6:$Z$18,'071추일출'!$AI$6:$AI$18,'071추일입'!$AG53))</f>
        <v>0</v>
      </c>
      <c r="AN53" s="186" t="str">
        <f>IF(AG53="","",COUNTIFS('071추일출'!$AI$6:$AI$18,'071추일입'!AG53))</f>
        <v/>
      </c>
      <c r="AO53" s="188" t="str">
        <f t="shared" si="10"/>
        <v>OK</v>
      </c>
      <c r="AQ53" s="186">
        <f>IF(AG53="",0,SUMIFS('071추일출'!$AE$6:$AE$18,'071추일출'!$AI$6:$AI$18,'071추일입'!$AG53))</f>
        <v>0</v>
      </c>
      <c r="AR53" s="186" t="str">
        <f>IF(AG53="","",COUNTIFS('071추일출'!$AI$6:$AI$18,AG53))</f>
        <v/>
      </c>
      <c r="AS53" s="188" t="str">
        <f t="shared" si="11"/>
        <v>OK</v>
      </c>
    </row>
    <row r="54" spans="1:45" ht="50.1" customHeight="1">
      <c r="A54" s="486"/>
      <c r="B54" s="487"/>
      <c r="C54" s="488"/>
      <c r="D54" s="489"/>
      <c r="E54" s="490"/>
      <c r="F54" s="489"/>
      <c r="G54" s="501"/>
      <c r="H54" s="186"/>
      <c r="I54" s="186"/>
      <c r="J54" s="229" t="str">
        <f t="shared" si="12"/>
        <v/>
      </c>
      <c r="K54" s="186"/>
      <c r="L54" s="492"/>
      <c r="M54" s="493">
        <f t="shared" si="2"/>
        <v>0</v>
      </c>
      <c r="N54" s="494"/>
      <c r="O54" s="495"/>
      <c r="P54" s="496">
        <f t="shared" si="3"/>
        <v>0</v>
      </c>
      <c r="Q54" s="187" t="str">
        <f t="shared" si="13"/>
        <v>X</v>
      </c>
      <c r="R54" s="187"/>
      <c r="S54" s="187"/>
      <c r="T54" s="497"/>
      <c r="U54" s="188"/>
      <c r="W54" s="188"/>
      <c r="X54" s="186">
        <f t="shared" si="4"/>
        <v>0</v>
      </c>
      <c r="Y54" s="186">
        <f t="shared" si="5"/>
        <v>0</v>
      </c>
      <c r="Z54" s="188" t="str">
        <f t="shared" si="6"/>
        <v>OK</v>
      </c>
      <c r="AB54" s="188"/>
      <c r="AC54" s="186">
        <f t="shared" si="7"/>
        <v>0</v>
      </c>
      <c r="AD54" s="186">
        <f t="shared" si="8"/>
        <v>0</v>
      </c>
      <c r="AE54" s="188" t="str">
        <f t="shared" si="9"/>
        <v>OK</v>
      </c>
      <c r="AG54" s="188" t="str">
        <f>IF(AI54="","",IF(W54="도비","세입없음",CONCATENATE(AI54,"-",COUNTIF($AI$7:AI54,AI54))))</f>
        <v/>
      </c>
      <c r="AI54" s="188" t="str">
        <f t="array" ref="AI54">IF(C54="","",INDEX([1]구분표!$I$2:$I$311, MATCH(1,([1]구분표!$E$2:$E$311='071추일입'!B54)*([1]구분표!$F$2:$F$311='071추일입'!C54)*([1]구분표!$G$2:$G$311='071추일입'!A54),0)))</f>
        <v/>
      </c>
      <c r="AK54" s="188"/>
      <c r="AM54" s="186">
        <f>IF(AG54="",0,SUMIFS('071추일출'!$Z$6:$Z$18,'071추일출'!$AI$6:$AI$18,'071추일입'!$AG54))</f>
        <v>0</v>
      </c>
      <c r="AN54" s="186" t="str">
        <f>IF(AG54="","",COUNTIFS('071추일출'!$AI$6:$AI$18,'071추일입'!AG54))</f>
        <v/>
      </c>
      <c r="AO54" s="188" t="str">
        <f t="shared" si="10"/>
        <v>OK</v>
      </c>
      <c r="AQ54" s="186">
        <f>IF(AG54="",0,SUMIFS('071추일출'!$AE$6:$AE$18,'071추일출'!$AI$6:$AI$18,'071추일입'!$AG54))</f>
        <v>0</v>
      </c>
      <c r="AR54" s="186" t="str">
        <f>IF(AG54="","",COUNTIFS('071추일출'!$AI$6:$AI$18,AG54))</f>
        <v/>
      </c>
      <c r="AS54" s="188" t="str">
        <f t="shared" si="11"/>
        <v>OK</v>
      </c>
    </row>
    <row r="55" spans="1:45" ht="50.1" customHeight="1">
      <c r="A55" s="486"/>
      <c r="B55" s="487"/>
      <c r="C55" s="488"/>
      <c r="D55" s="489"/>
      <c r="E55" s="490"/>
      <c r="F55" s="489"/>
      <c r="G55" s="501"/>
      <c r="H55" s="186"/>
      <c r="I55" s="186"/>
      <c r="J55" s="229" t="str">
        <f t="shared" si="12"/>
        <v/>
      </c>
      <c r="K55" s="186"/>
      <c r="L55" s="492"/>
      <c r="M55" s="493">
        <f t="shared" si="2"/>
        <v>0</v>
      </c>
      <c r="N55" s="494"/>
      <c r="O55" s="495"/>
      <c r="P55" s="496">
        <f t="shared" si="3"/>
        <v>0</v>
      </c>
      <c r="Q55" s="187" t="str">
        <f t="shared" si="13"/>
        <v>X</v>
      </c>
      <c r="R55" s="187"/>
      <c r="S55" s="187"/>
      <c r="T55" s="497"/>
      <c r="U55" s="188"/>
      <c r="W55" s="188"/>
      <c r="X55" s="186">
        <f t="shared" si="4"/>
        <v>0</v>
      </c>
      <c r="Y55" s="186">
        <f t="shared" si="5"/>
        <v>0</v>
      </c>
      <c r="Z55" s="188" t="str">
        <f t="shared" si="6"/>
        <v>OK</v>
      </c>
      <c r="AB55" s="188"/>
      <c r="AC55" s="186">
        <f t="shared" si="7"/>
        <v>0</v>
      </c>
      <c r="AD55" s="186">
        <f t="shared" si="8"/>
        <v>0</v>
      </c>
      <c r="AE55" s="188" t="str">
        <f t="shared" si="9"/>
        <v>OK</v>
      </c>
      <c r="AG55" s="188" t="str">
        <f>IF(AI55="","",IF(W55="도비","세입없음",CONCATENATE(AI55,"-",COUNTIF($AI$7:AI55,AI55))))</f>
        <v/>
      </c>
      <c r="AI55" s="188" t="str">
        <f t="array" ref="AI55">IF(C55="","",INDEX([1]구분표!$I$2:$I$311, MATCH(1,([1]구분표!$E$2:$E$311='071추일입'!B55)*([1]구분표!$F$2:$F$311='071추일입'!C55)*([1]구분표!$G$2:$G$311='071추일입'!A55),0)))</f>
        <v/>
      </c>
      <c r="AK55" s="188"/>
      <c r="AM55" s="186">
        <f>IF(AG55="",0,SUMIFS('071추일출'!$Z$6:$Z$18,'071추일출'!$AI$6:$AI$18,'071추일입'!$AG55))</f>
        <v>0</v>
      </c>
      <c r="AN55" s="186" t="str">
        <f>IF(AG55="","",COUNTIFS('071추일출'!$AI$6:$AI$18,'071추일입'!AG55))</f>
        <v/>
      </c>
      <c r="AO55" s="188" t="str">
        <f t="shared" si="10"/>
        <v>OK</v>
      </c>
      <c r="AQ55" s="186">
        <f>IF(AG55="",0,SUMIFS('071추일출'!$AE$6:$AE$18,'071추일출'!$AI$6:$AI$18,'071추일입'!$AG55))</f>
        <v>0</v>
      </c>
      <c r="AR55" s="186" t="str">
        <f>IF(AG55="","",COUNTIFS('071추일출'!$AI$6:$AI$18,AG55))</f>
        <v/>
      </c>
      <c r="AS55" s="188" t="str">
        <f t="shared" si="11"/>
        <v>OK</v>
      </c>
    </row>
    <row r="56" spans="1:45" ht="50.1" customHeight="1">
      <c r="A56" s="486"/>
      <c r="B56" s="487"/>
      <c r="C56" s="488"/>
      <c r="D56" s="489"/>
      <c r="E56" s="490"/>
      <c r="F56" s="489"/>
      <c r="G56" s="501"/>
      <c r="H56" s="186"/>
      <c r="I56" s="186"/>
      <c r="J56" s="229" t="str">
        <f t="shared" si="12"/>
        <v/>
      </c>
      <c r="K56" s="186"/>
      <c r="L56" s="492"/>
      <c r="M56" s="493">
        <f t="shared" si="2"/>
        <v>0</v>
      </c>
      <c r="N56" s="494"/>
      <c r="O56" s="495"/>
      <c r="P56" s="496">
        <f t="shared" si="3"/>
        <v>0</v>
      </c>
      <c r="Q56" s="187" t="str">
        <f t="shared" si="13"/>
        <v>X</v>
      </c>
      <c r="R56" s="187"/>
      <c r="S56" s="187"/>
      <c r="T56" s="497"/>
      <c r="U56" s="188"/>
      <c r="W56" s="188"/>
      <c r="X56" s="186">
        <f t="shared" si="4"/>
        <v>0</v>
      </c>
      <c r="Y56" s="186">
        <f t="shared" si="5"/>
        <v>0</v>
      </c>
      <c r="Z56" s="188" t="str">
        <f t="shared" si="6"/>
        <v>OK</v>
      </c>
      <c r="AB56" s="188"/>
      <c r="AC56" s="186">
        <f t="shared" si="7"/>
        <v>0</v>
      </c>
      <c r="AD56" s="186">
        <f t="shared" si="8"/>
        <v>0</v>
      </c>
      <c r="AE56" s="188" t="str">
        <f t="shared" si="9"/>
        <v>OK</v>
      </c>
      <c r="AG56" s="188" t="str">
        <f>IF(AI56="","",IF(W56="도비","세입없음",CONCATENATE(AI56,"-",COUNTIF($AI$7:AI56,AI56))))</f>
        <v/>
      </c>
      <c r="AI56" s="188" t="str">
        <f t="array" ref="AI56">IF(C56="","",INDEX([1]구분표!$I$2:$I$311, MATCH(1,([1]구분표!$E$2:$E$311='071추일입'!B56)*([1]구분표!$F$2:$F$311='071추일입'!C56)*([1]구분표!$G$2:$G$311='071추일입'!A56),0)))</f>
        <v/>
      </c>
      <c r="AK56" s="188"/>
      <c r="AM56" s="186">
        <f>IF(AG56="",0,SUMIFS('071추일출'!$Z$6:$Z$18,'071추일출'!$AI$6:$AI$18,'071추일입'!$AG56))</f>
        <v>0</v>
      </c>
      <c r="AN56" s="186" t="str">
        <f>IF(AG56="","",COUNTIFS('071추일출'!$AI$6:$AI$18,'071추일입'!AG56))</f>
        <v/>
      </c>
      <c r="AO56" s="188" t="str">
        <f t="shared" si="10"/>
        <v>OK</v>
      </c>
      <c r="AQ56" s="186">
        <f>IF(AG56="",0,SUMIFS('071추일출'!$AE$6:$AE$18,'071추일출'!$AI$6:$AI$18,'071추일입'!$AG56))</f>
        <v>0</v>
      </c>
      <c r="AR56" s="186" t="str">
        <f>IF(AG56="","",COUNTIFS('071추일출'!$AI$6:$AI$18,AG56))</f>
        <v/>
      </c>
      <c r="AS56" s="188" t="str">
        <f t="shared" si="11"/>
        <v>OK</v>
      </c>
    </row>
    <row r="57" spans="1:45" ht="50.1" customHeight="1">
      <c r="A57" s="486"/>
      <c r="B57" s="487"/>
      <c r="C57" s="488"/>
      <c r="D57" s="489"/>
      <c r="E57" s="490"/>
      <c r="F57" s="489"/>
      <c r="G57" s="501"/>
      <c r="H57" s="186"/>
      <c r="I57" s="186"/>
      <c r="J57" s="229" t="str">
        <f t="shared" si="12"/>
        <v/>
      </c>
      <c r="K57" s="186"/>
      <c r="L57" s="492"/>
      <c r="M57" s="493">
        <f t="shared" si="2"/>
        <v>0</v>
      </c>
      <c r="N57" s="494"/>
      <c r="O57" s="495"/>
      <c r="P57" s="496">
        <f t="shared" si="3"/>
        <v>0</v>
      </c>
      <c r="Q57" s="187" t="str">
        <f t="shared" si="13"/>
        <v>X</v>
      </c>
      <c r="R57" s="187"/>
      <c r="S57" s="187"/>
      <c r="T57" s="497"/>
      <c r="U57" s="188"/>
      <c r="W57" s="188"/>
      <c r="X57" s="186">
        <f t="shared" si="4"/>
        <v>0</v>
      </c>
      <c r="Y57" s="186">
        <f t="shared" si="5"/>
        <v>0</v>
      </c>
      <c r="Z57" s="188" t="str">
        <f t="shared" si="6"/>
        <v>OK</v>
      </c>
      <c r="AB57" s="188"/>
      <c r="AC57" s="186">
        <f t="shared" si="7"/>
        <v>0</v>
      </c>
      <c r="AD57" s="186">
        <f t="shared" si="8"/>
        <v>0</v>
      </c>
      <c r="AE57" s="188" t="str">
        <f t="shared" si="9"/>
        <v>OK</v>
      </c>
      <c r="AG57" s="188" t="str">
        <f>IF(AI57="","",IF(W57="도비","세입없음",CONCATENATE(AI57,"-",COUNTIF($AI$7:AI57,AI57))))</f>
        <v/>
      </c>
      <c r="AI57" s="188" t="str">
        <f t="array" ref="AI57">IF(C57="","",INDEX([1]구분표!$I$2:$I$311, MATCH(1,([1]구분표!$E$2:$E$311='071추일입'!B57)*([1]구분표!$F$2:$F$311='071추일입'!C57)*([1]구분표!$G$2:$G$311='071추일입'!A57),0)))</f>
        <v/>
      </c>
      <c r="AK57" s="188"/>
      <c r="AM57" s="186">
        <f>IF(AG57="",0,SUMIFS('071추일출'!$Z$6:$Z$18,'071추일출'!$AI$6:$AI$18,'071추일입'!$AG57))</f>
        <v>0</v>
      </c>
      <c r="AN57" s="186" t="str">
        <f>IF(AG57="","",COUNTIFS('071추일출'!$AI$6:$AI$18,'071추일입'!AG57))</f>
        <v/>
      </c>
      <c r="AO57" s="188" t="str">
        <f t="shared" si="10"/>
        <v>OK</v>
      </c>
      <c r="AQ57" s="186">
        <f>IF(AG57="",0,SUMIFS('071추일출'!$AE$6:$AE$18,'071추일출'!$AI$6:$AI$18,'071추일입'!$AG57))</f>
        <v>0</v>
      </c>
      <c r="AR57" s="186" t="str">
        <f>IF(AG57="","",COUNTIFS('071추일출'!$AI$6:$AI$18,AG57))</f>
        <v/>
      </c>
      <c r="AS57" s="188" t="str">
        <f t="shared" si="11"/>
        <v>OK</v>
      </c>
    </row>
    <row r="58" spans="1:45" ht="50.1" customHeight="1">
      <c r="A58" s="486"/>
      <c r="B58" s="487"/>
      <c r="C58" s="488"/>
      <c r="D58" s="489"/>
      <c r="E58" s="490"/>
      <c r="F58" s="489"/>
      <c r="G58" s="501"/>
      <c r="H58" s="186"/>
      <c r="I58" s="186"/>
      <c r="J58" s="229" t="str">
        <f t="shared" si="12"/>
        <v/>
      </c>
      <c r="K58" s="186"/>
      <c r="L58" s="492"/>
      <c r="M58" s="493">
        <f t="shared" si="2"/>
        <v>0</v>
      </c>
      <c r="N58" s="494"/>
      <c r="O58" s="495"/>
      <c r="P58" s="496">
        <f t="shared" si="3"/>
        <v>0</v>
      </c>
      <c r="Q58" s="187" t="str">
        <f t="shared" si="13"/>
        <v>X</v>
      </c>
      <c r="R58" s="187"/>
      <c r="S58" s="187"/>
      <c r="T58" s="497"/>
      <c r="U58" s="188"/>
      <c r="W58" s="188"/>
      <c r="X58" s="186">
        <f t="shared" si="4"/>
        <v>0</v>
      </c>
      <c r="Y58" s="186">
        <f t="shared" si="5"/>
        <v>0</v>
      </c>
      <c r="Z58" s="188" t="str">
        <f t="shared" si="6"/>
        <v>OK</v>
      </c>
      <c r="AB58" s="188"/>
      <c r="AC58" s="186">
        <f t="shared" si="7"/>
        <v>0</v>
      </c>
      <c r="AD58" s="186">
        <f t="shared" si="8"/>
        <v>0</v>
      </c>
      <c r="AE58" s="188" t="str">
        <f t="shared" si="9"/>
        <v>OK</v>
      </c>
      <c r="AG58" s="188" t="str">
        <f>IF(AI58="","",IF(W58="도비","세입없음",CONCATENATE(AI58,"-",COUNTIF($AI$7:AI58,AI58))))</f>
        <v/>
      </c>
      <c r="AI58" s="188" t="str">
        <f t="array" ref="AI58">IF(C58="","",INDEX([1]구분표!$I$2:$I$311, MATCH(1,([1]구분표!$E$2:$E$311='071추일입'!B58)*([1]구분표!$F$2:$F$311='071추일입'!C58)*([1]구분표!$G$2:$G$311='071추일입'!A58),0)))</f>
        <v/>
      </c>
      <c r="AK58" s="188"/>
      <c r="AM58" s="186">
        <f>IF(AG58="",0,SUMIFS('071추일출'!$Z$6:$Z$18,'071추일출'!$AI$6:$AI$18,'071추일입'!$AG58))</f>
        <v>0</v>
      </c>
      <c r="AN58" s="186" t="str">
        <f>IF(AG58="","",COUNTIFS('071추일출'!$AI$6:$AI$18,'071추일입'!AG58))</f>
        <v/>
      </c>
      <c r="AO58" s="188" t="str">
        <f t="shared" si="10"/>
        <v>OK</v>
      </c>
      <c r="AQ58" s="186">
        <f>IF(AG58="",0,SUMIFS('071추일출'!$AE$6:$AE$18,'071추일출'!$AI$6:$AI$18,'071추일입'!$AG58))</f>
        <v>0</v>
      </c>
      <c r="AR58" s="186" t="str">
        <f>IF(AG58="","",COUNTIFS('071추일출'!$AI$6:$AI$18,AG58))</f>
        <v/>
      </c>
      <c r="AS58" s="188" t="str">
        <f t="shared" si="11"/>
        <v>OK</v>
      </c>
    </row>
    <row r="59" spans="1:45" ht="50.1" customHeight="1">
      <c r="A59" s="486"/>
      <c r="B59" s="487"/>
      <c r="C59" s="488"/>
      <c r="D59" s="489"/>
      <c r="E59" s="490"/>
      <c r="F59" s="489"/>
      <c r="G59" s="501"/>
      <c r="H59" s="186"/>
      <c r="I59" s="186"/>
      <c r="J59" s="229" t="str">
        <f t="shared" si="12"/>
        <v/>
      </c>
      <c r="K59" s="186"/>
      <c r="L59" s="492"/>
      <c r="M59" s="493">
        <f t="shared" si="2"/>
        <v>0</v>
      </c>
      <c r="N59" s="494"/>
      <c r="O59" s="495"/>
      <c r="P59" s="496">
        <f t="shared" si="3"/>
        <v>0</v>
      </c>
      <c r="Q59" s="187" t="str">
        <f t="shared" si="13"/>
        <v>X</v>
      </c>
      <c r="R59" s="187"/>
      <c r="S59" s="187"/>
      <c r="T59" s="497"/>
      <c r="U59" s="188"/>
      <c r="W59" s="188"/>
      <c r="X59" s="186">
        <f t="shared" si="4"/>
        <v>0</v>
      </c>
      <c r="Y59" s="186">
        <f t="shared" si="5"/>
        <v>0</v>
      </c>
      <c r="Z59" s="188" t="str">
        <f t="shared" si="6"/>
        <v>OK</v>
      </c>
      <c r="AB59" s="188"/>
      <c r="AC59" s="186">
        <f t="shared" si="7"/>
        <v>0</v>
      </c>
      <c r="AD59" s="186">
        <f t="shared" si="8"/>
        <v>0</v>
      </c>
      <c r="AE59" s="188" t="str">
        <f t="shared" si="9"/>
        <v>OK</v>
      </c>
      <c r="AG59" s="188" t="str">
        <f>IF(AI59="","",IF(W59="도비","세입없음",CONCATENATE(AI59,"-",COUNTIF($AI$7:AI59,AI59))))</f>
        <v/>
      </c>
      <c r="AI59" s="188" t="str">
        <f t="array" ref="AI59">IF(C59="","",INDEX([1]구분표!$I$2:$I$311, MATCH(1,([1]구분표!$E$2:$E$311='071추일입'!B59)*([1]구분표!$F$2:$F$311='071추일입'!C59)*([1]구분표!$G$2:$G$311='071추일입'!A59),0)))</f>
        <v/>
      </c>
      <c r="AK59" s="188"/>
      <c r="AM59" s="186">
        <f>IF(AG59="",0,SUMIFS('071추일출'!$Z$6:$Z$18,'071추일출'!$AI$6:$AI$18,'071추일입'!$AG59))</f>
        <v>0</v>
      </c>
      <c r="AN59" s="186" t="str">
        <f>IF(AG59="","",COUNTIFS('071추일출'!$AI$6:$AI$18,'071추일입'!AG59))</f>
        <v/>
      </c>
      <c r="AO59" s="188" t="str">
        <f t="shared" si="10"/>
        <v>OK</v>
      </c>
      <c r="AQ59" s="186">
        <f>IF(AG59="",0,SUMIFS('071추일출'!$AE$6:$AE$18,'071추일출'!$AI$6:$AI$18,'071추일입'!$AG59))</f>
        <v>0</v>
      </c>
      <c r="AR59" s="186" t="str">
        <f>IF(AG59="","",COUNTIFS('071추일출'!$AI$6:$AI$18,AG59))</f>
        <v/>
      </c>
      <c r="AS59" s="188" t="str">
        <f t="shared" si="11"/>
        <v>OK</v>
      </c>
    </row>
    <row r="60" spans="1:45" ht="50.1" customHeight="1">
      <c r="A60" s="486"/>
      <c r="B60" s="487"/>
      <c r="C60" s="488"/>
      <c r="D60" s="489"/>
      <c r="E60" s="490"/>
      <c r="F60" s="489"/>
      <c r="G60" s="501"/>
      <c r="H60" s="186"/>
      <c r="I60" s="186"/>
      <c r="J60" s="229" t="str">
        <f t="shared" si="12"/>
        <v/>
      </c>
      <c r="K60" s="186"/>
      <c r="L60" s="492"/>
      <c r="M60" s="493">
        <f t="shared" si="2"/>
        <v>0</v>
      </c>
      <c r="N60" s="494"/>
      <c r="O60" s="495"/>
      <c r="P60" s="496">
        <f t="shared" si="3"/>
        <v>0</v>
      </c>
      <c r="Q60" s="187" t="str">
        <f t="shared" si="13"/>
        <v>X</v>
      </c>
      <c r="R60" s="187"/>
      <c r="S60" s="187"/>
      <c r="T60" s="497"/>
      <c r="U60" s="188"/>
      <c r="W60" s="188"/>
      <c r="X60" s="186">
        <f t="shared" si="4"/>
        <v>0</v>
      </c>
      <c r="Y60" s="186">
        <f t="shared" si="5"/>
        <v>0</v>
      </c>
      <c r="Z60" s="188" t="str">
        <f t="shared" si="6"/>
        <v>OK</v>
      </c>
      <c r="AB60" s="188"/>
      <c r="AC60" s="186">
        <f t="shared" si="7"/>
        <v>0</v>
      </c>
      <c r="AD60" s="186">
        <f t="shared" si="8"/>
        <v>0</v>
      </c>
      <c r="AE60" s="188" t="str">
        <f t="shared" si="9"/>
        <v>OK</v>
      </c>
      <c r="AG60" s="188" t="str">
        <f>IF(AI60="","",IF(W60="도비","세입없음",CONCATENATE(AI60,"-",COUNTIF($AI$7:AI60,AI60))))</f>
        <v/>
      </c>
      <c r="AI60" s="188" t="str">
        <f t="array" ref="AI60">IF(C60="","",INDEX([1]구분표!$I$2:$I$311, MATCH(1,([1]구분표!$E$2:$E$311='071추일입'!B60)*([1]구분표!$F$2:$F$311='071추일입'!C60)*([1]구분표!$G$2:$G$311='071추일입'!A60),0)))</f>
        <v/>
      </c>
      <c r="AK60" s="188"/>
      <c r="AM60" s="186">
        <f>IF(AG60="",0,SUMIFS('071추일출'!$Z$6:$Z$18,'071추일출'!$AI$6:$AI$18,'071추일입'!$AG60))</f>
        <v>0</v>
      </c>
      <c r="AN60" s="186" t="str">
        <f>IF(AG60="","",COUNTIFS('071추일출'!$AI$6:$AI$18,'071추일입'!AG60))</f>
        <v/>
      </c>
      <c r="AO60" s="188" t="str">
        <f t="shared" si="10"/>
        <v>OK</v>
      </c>
      <c r="AQ60" s="186">
        <f>IF(AG60="",0,SUMIFS('071추일출'!$AE$6:$AE$18,'071추일출'!$AI$6:$AI$18,'071추일입'!$AG60))</f>
        <v>0</v>
      </c>
      <c r="AR60" s="186" t="str">
        <f>IF(AG60="","",COUNTIFS('071추일출'!$AI$6:$AI$18,AG60))</f>
        <v/>
      </c>
      <c r="AS60" s="188" t="str">
        <f t="shared" si="11"/>
        <v>OK</v>
      </c>
    </row>
    <row r="61" spans="1:45" ht="50.1" customHeight="1">
      <c r="A61" s="486"/>
      <c r="B61" s="487"/>
      <c r="C61" s="488"/>
      <c r="D61" s="489"/>
      <c r="E61" s="490"/>
      <c r="F61" s="489"/>
      <c r="G61" s="501"/>
      <c r="H61" s="186"/>
      <c r="I61" s="186"/>
      <c r="J61" s="229" t="str">
        <f t="shared" si="12"/>
        <v/>
      </c>
      <c r="K61" s="186"/>
      <c r="L61" s="492"/>
      <c r="M61" s="493">
        <f t="shared" si="2"/>
        <v>0</v>
      </c>
      <c r="N61" s="494"/>
      <c r="O61" s="495"/>
      <c r="P61" s="496">
        <f t="shared" si="3"/>
        <v>0</v>
      </c>
      <c r="Q61" s="187" t="str">
        <f t="shared" si="13"/>
        <v>X</v>
      </c>
      <c r="R61" s="187"/>
      <c r="S61" s="187"/>
      <c r="T61" s="497"/>
      <c r="U61" s="188"/>
      <c r="W61" s="188"/>
      <c r="X61" s="186">
        <f t="shared" si="4"/>
        <v>0</v>
      </c>
      <c r="Y61" s="186">
        <f t="shared" si="5"/>
        <v>0</v>
      </c>
      <c r="Z61" s="188" t="str">
        <f t="shared" si="6"/>
        <v>OK</v>
      </c>
      <c r="AB61" s="188"/>
      <c r="AC61" s="186">
        <f t="shared" si="7"/>
        <v>0</v>
      </c>
      <c r="AD61" s="186">
        <f t="shared" si="8"/>
        <v>0</v>
      </c>
      <c r="AE61" s="188" t="str">
        <f t="shared" si="9"/>
        <v>OK</v>
      </c>
      <c r="AG61" s="188" t="str">
        <f>IF(AI61="","",IF(W61="도비","세입없음",CONCATENATE(AI61,"-",COUNTIF($AI$7:AI61,AI61))))</f>
        <v/>
      </c>
      <c r="AI61" s="188" t="str">
        <f t="array" ref="AI61">IF(C61="","",INDEX([1]구분표!$I$2:$I$311, MATCH(1,([1]구분표!$E$2:$E$311='071추일입'!B61)*([1]구분표!$F$2:$F$311='071추일입'!C61)*([1]구분표!$G$2:$G$311='071추일입'!A61),0)))</f>
        <v/>
      </c>
      <c r="AK61" s="188"/>
      <c r="AM61" s="186">
        <f>IF(AG61="",0,SUMIFS('071추일출'!$Z$6:$Z$18,'071추일출'!$AI$6:$AI$18,'071추일입'!$AG61))</f>
        <v>0</v>
      </c>
      <c r="AN61" s="186" t="str">
        <f>IF(AG61="","",COUNTIFS('071추일출'!$AI$6:$AI$18,'071추일입'!AG61))</f>
        <v/>
      </c>
      <c r="AO61" s="188" t="str">
        <f t="shared" si="10"/>
        <v>OK</v>
      </c>
      <c r="AQ61" s="186">
        <f>IF(AG61="",0,SUMIFS('071추일출'!$AE$6:$AE$18,'071추일출'!$AI$6:$AI$18,'071추일입'!$AG61))</f>
        <v>0</v>
      </c>
      <c r="AR61" s="186" t="str">
        <f>IF(AG61="","",COUNTIFS('071추일출'!$AI$6:$AI$18,AG61))</f>
        <v/>
      </c>
      <c r="AS61" s="188" t="str">
        <f t="shared" si="11"/>
        <v>OK</v>
      </c>
    </row>
    <row r="62" spans="1:45" ht="50.1" customHeight="1">
      <c r="A62" s="486"/>
      <c r="B62" s="487"/>
      <c r="C62" s="488"/>
      <c r="D62" s="489"/>
      <c r="E62" s="490"/>
      <c r="F62" s="489"/>
      <c r="G62" s="501"/>
      <c r="H62" s="186"/>
      <c r="I62" s="186"/>
      <c r="J62" s="229" t="str">
        <f t="shared" si="12"/>
        <v/>
      </c>
      <c r="K62" s="186"/>
      <c r="L62" s="492"/>
      <c r="M62" s="493">
        <f t="shared" si="2"/>
        <v>0</v>
      </c>
      <c r="N62" s="494"/>
      <c r="O62" s="495"/>
      <c r="P62" s="496">
        <f t="shared" si="3"/>
        <v>0</v>
      </c>
      <c r="Q62" s="187" t="str">
        <f t="shared" si="13"/>
        <v>X</v>
      </c>
      <c r="R62" s="187"/>
      <c r="S62" s="187"/>
      <c r="T62" s="497"/>
      <c r="U62" s="188"/>
      <c r="W62" s="188"/>
      <c r="X62" s="186">
        <f t="shared" si="4"/>
        <v>0</v>
      </c>
      <c r="Y62" s="186">
        <f t="shared" si="5"/>
        <v>0</v>
      </c>
      <c r="Z62" s="188" t="str">
        <f t="shared" si="6"/>
        <v>OK</v>
      </c>
      <c r="AB62" s="188"/>
      <c r="AC62" s="186">
        <f t="shared" si="7"/>
        <v>0</v>
      </c>
      <c r="AD62" s="186">
        <f t="shared" si="8"/>
        <v>0</v>
      </c>
      <c r="AE62" s="188" t="str">
        <f t="shared" si="9"/>
        <v>OK</v>
      </c>
      <c r="AG62" s="188" t="str">
        <f>IF(AI62="","",IF(W62="도비","세입없음",CONCATENATE(AI62,"-",COUNTIF($AI$7:AI62,AI62))))</f>
        <v/>
      </c>
      <c r="AI62" s="188" t="str">
        <f t="array" ref="AI62">IF(C62="","",INDEX([1]구분표!$I$2:$I$311, MATCH(1,([1]구분표!$E$2:$E$311='071추일입'!B62)*([1]구분표!$F$2:$F$311='071추일입'!C62)*([1]구분표!$G$2:$G$311='071추일입'!A62),0)))</f>
        <v/>
      </c>
      <c r="AK62" s="188"/>
      <c r="AM62" s="186">
        <f>IF(AG62="",0,SUMIFS('071추일출'!$Z$6:$Z$18,'071추일출'!$AI$6:$AI$18,'071추일입'!$AG62))</f>
        <v>0</v>
      </c>
      <c r="AN62" s="186" t="str">
        <f>IF(AG62="","",COUNTIFS('071추일출'!$AI$6:$AI$18,'071추일입'!AG62))</f>
        <v/>
      </c>
      <c r="AO62" s="188" t="str">
        <f t="shared" si="10"/>
        <v>OK</v>
      </c>
      <c r="AQ62" s="186">
        <f>IF(AG62="",0,SUMIFS('071추일출'!$AE$6:$AE$18,'071추일출'!$AI$6:$AI$18,'071추일입'!$AG62))</f>
        <v>0</v>
      </c>
      <c r="AR62" s="186" t="str">
        <f>IF(AG62="","",COUNTIFS('071추일출'!$AI$6:$AI$18,AG62))</f>
        <v/>
      </c>
      <c r="AS62" s="188" t="str">
        <f t="shared" si="11"/>
        <v>OK</v>
      </c>
    </row>
    <row r="63" spans="1:45" ht="50.1" customHeight="1">
      <c r="A63" s="486"/>
      <c r="B63" s="487"/>
      <c r="C63" s="488"/>
      <c r="D63" s="489"/>
      <c r="E63" s="490"/>
      <c r="F63" s="489"/>
      <c r="G63" s="501"/>
      <c r="H63" s="186"/>
      <c r="I63" s="186"/>
      <c r="J63" s="229" t="str">
        <f t="shared" si="12"/>
        <v/>
      </c>
      <c r="K63" s="186"/>
      <c r="L63" s="492"/>
      <c r="M63" s="493">
        <f t="shared" si="2"/>
        <v>0</v>
      </c>
      <c r="N63" s="494"/>
      <c r="O63" s="495"/>
      <c r="P63" s="496">
        <f t="shared" si="3"/>
        <v>0</v>
      </c>
      <c r="Q63" s="187" t="str">
        <f t="shared" si="13"/>
        <v>X</v>
      </c>
      <c r="R63" s="187"/>
      <c r="S63" s="187"/>
      <c r="T63" s="497"/>
      <c r="U63" s="188"/>
      <c r="W63" s="188"/>
      <c r="X63" s="186">
        <f t="shared" si="4"/>
        <v>0</v>
      </c>
      <c r="Y63" s="186">
        <f t="shared" si="5"/>
        <v>0</v>
      </c>
      <c r="Z63" s="188" t="str">
        <f t="shared" si="6"/>
        <v>OK</v>
      </c>
      <c r="AB63" s="188"/>
      <c r="AC63" s="186">
        <f t="shared" si="7"/>
        <v>0</v>
      </c>
      <c r="AD63" s="186">
        <f t="shared" si="8"/>
        <v>0</v>
      </c>
      <c r="AE63" s="188" t="str">
        <f t="shared" si="9"/>
        <v>OK</v>
      </c>
      <c r="AG63" s="188" t="str">
        <f>IF(AI63="","",IF(W63="도비","세입없음",CONCATENATE(AI63,"-",COUNTIF($AI$7:AI63,AI63))))</f>
        <v/>
      </c>
      <c r="AI63" s="188" t="str">
        <f t="array" ref="AI63">IF(C63="","",INDEX([1]구분표!$I$2:$I$311, MATCH(1,([1]구분표!$E$2:$E$311='071추일입'!B63)*([1]구분표!$F$2:$F$311='071추일입'!C63)*([1]구분표!$G$2:$G$311='071추일입'!A63),0)))</f>
        <v/>
      </c>
      <c r="AK63" s="188"/>
      <c r="AM63" s="186">
        <f>IF(AG63="",0,SUMIFS('071추일출'!$Z$6:$Z$18,'071추일출'!$AI$6:$AI$18,'071추일입'!$AG63))</f>
        <v>0</v>
      </c>
      <c r="AN63" s="186" t="str">
        <f>IF(AG63="","",COUNTIFS('071추일출'!$AI$6:$AI$18,'071추일입'!AG63))</f>
        <v/>
      </c>
      <c r="AO63" s="188" t="str">
        <f t="shared" si="10"/>
        <v>OK</v>
      </c>
      <c r="AQ63" s="186">
        <f>IF(AG63="",0,SUMIFS('071추일출'!$AE$6:$AE$18,'071추일출'!$AI$6:$AI$18,'071추일입'!$AG63))</f>
        <v>0</v>
      </c>
      <c r="AR63" s="186" t="str">
        <f>IF(AG63="","",COUNTIFS('071추일출'!$AI$6:$AI$18,AG63))</f>
        <v/>
      </c>
      <c r="AS63" s="188" t="str">
        <f t="shared" si="11"/>
        <v>OK</v>
      </c>
    </row>
    <row r="64" spans="1:45" ht="50.1" customHeight="1">
      <c r="A64" s="486"/>
      <c r="B64" s="487"/>
      <c r="C64" s="488"/>
      <c r="D64" s="489"/>
      <c r="E64" s="490"/>
      <c r="F64" s="489"/>
      <c r="G64" s="501"/>
      <c r="H64" s="186"/>
      <c r="I64" s="186"/>
      <c r="J64" s="229" t="str">
        <f t="shared" si="12"/>
        <v/>
      </c>
      <c r="K64" s="186"/>
      <c r="L64" s="492"/>
      <c r="M64" s="493">
        <f t="shared" si="2"/>
        <v>0</v>
      </c>
      <c r="N64" s="494"/>
      <c r="O64" s="495"/>
      <c r="P64" s="496">
        <f t="shared" si="3"/>
        <v>0</v>
      </c>
      <c r="Q64" s="187" t="str">
        <f t="shared" si="13"/>
        <v>X</v>
      </c>
      <c r="R64" s="187"/>
      <c r="S64" s="187"/>
      <c r="T64" s="497"/>
      <c r="U64" s="188"/>
      <c r="W64" s="188"/>
      <c r="X64" s="186">
        <f t="shared" si="4"/>
        <v>0</v>
      </c>
      <c r="Y64" s="186">
        <f t="shared" si="5"/>
        <v>0</v>
      </c>
      <c r="Z64" s="188" t="str">
        <f t="shared" si="6"/>
        <v>OK</v>
      </c>
      <c r="AB64" s="188"/>
      <c r="AC64" s="186">
        <f t="shared" si="7"/>
        <v>0</v>
      </c>
      <c r="AD64" s="186">
        <f t="shared" si="8"/>
        <v>0</v>
      </c>
      <c r="AE64" s="188" t="str">
        <f t="shared" si="9"/>
        <v>OK</v>
      </c>
      <c r="AG64" s="188" t="str">
        <f>IF(AI64="","",IF(W64="도비","세입없음",CONCATENATE(AI64,"-",COUNTIF($AI$7:AI64,AI64))))</f>
        <v/>
      </c>
      <c r="AI64" s="188" t="str">
        <f t="array" ref="AI64">IF(C64="","",INDEX([1]구분표!$I$2:$I$311, MATCH(1,([1]구분표!$E$2:$E$311='071추일입'!B64)*([1]구분표!$F$2:$F$311='071추일입'!C64)*([1]구분표!$G$2:$G$311='071추일입'!A64),0)))</f>
        <v/>
      </c>
      <c r="AK64" s="188"/>
      <c r="AM64" s="186">
        <f>IF(AG64="",0,SUMIFS('071추일출'!$Z$6:$Z$18,'071추일출'!$AI$6:$AI$18,'071추일입'!$AG64))</f>
        <v>0</v>
      </c>
      <c r="AN64" s="186" t="str">
        <f>IF(AG64="","",COUNTIFS('071추일출'!$AI$6:$AI$18,'071추일입'!AG64))</f>
        <v/>
      </c>
      <c r="AO64" s="188" t="str">
        <f t="shared" si="10"/>
        <v>OK</v>
      </c>
      <c r="AQ64" s="186">
        <f>IF(AG64="",0,SUMIFS('071추일출'!$AE$6:$AE$18,'071추일출'!$AI$6:$AI$18,'071추일입'!$AG64))</f>
        <v>0</v>
      </c>
      <c r="AR64" s="186" t="str">
        <f>IF(AG64="","",COUNTIFS('071추일출'!$AI$6:$AI$18,AG64))</f>
        <v/>
      </c>
      <c r="AS64" s="188" t="str">
        <f t="shared" si="11"/>
        <v>OK</v>
      </c>
    </row>
    <row r="65" spans="1:45" ht="50.1" customHeight="1">
      <c r="A65" s="486"/>
      <c r="B65" s="487"/>
      <c r="C65" s="488"/>
      <c r="D65" s="489"/>
      <c r="E65" s="490"/>
      <c r="F65" s="489"/>
      <c r="G65" s="501"/>
      <c r="H65" s="186"/>
      <c r="I65" s="186"/>
      <c r="J65" s="229" t="str">
        <f t="shared" si="12"/>
        <v/>
      </c>
      <c r="K65" s="186"/>
      <c r="L65" s="492"/>
      <c r="M65" s="493">
        <f t="shared" si="2"/>
        <v>0</v>
      </c>
      <c r="N65" s="494"/>
      <c r="O65" s="495"/>
      <c r="P65" s="496">
        <f t="shared" si="3"/>
        <v>0</v>
      </c>
      <c r="Q65" s="187" t="str">
        <f t="shared" si="13"/>
        <v>X</v>
      </c>
      <c r="R65" s="187"/>
      <c r="S65" s="187"/>
      <c r="T65" s="497"/>
      <c r="U65" s="188"/>
      <c r="W65" s="188"/>
      <c r="X65" s="186">
        <f t="shared" si="4"/>
        <v>0</v>
      </c>
      <c r="Y65" s="186">
        <f t="shared" si="5"/>
        <v>0</v>
      </c>
      <c r="Z65" s="188" t="str">
        <f t="shared" si="6"/>
        <v>OK</v>
      </c>
      <c r="AB65" s="188"/>
      <c r="AC65" s="186">
        <f t="shared" si="7"/>
        <v>0</v>
      </c>
      <c r="AD65" s="186">
        <f t="shared" si="8"/>
        <v>0</v>
      </c>
      <c r="AE65" s="188" t="str">
        <f t="shared" si="9"/>
        <v>OK</v>
      </c>
      <c r="AG65" s="188" t="str">
        <f>IF(AI65="","",IF(W65="도비","세입없음",CONCATENATE(AI65,"-",COUNTIF($AI$7:AI65,AI65))))</f>
        <v/>
      </c>
      <c r="AI65" s="188" t="str">
        <f t="array" ref="AI65">IF(C65="","",INDEX([1]구분표!$I$2:$I$311, MATCH(1,([1]구분표!$E$2:$E$311='071추일입'!B65)*([1]구분표!$F$2:$F$311='071추일입'!C65)*([1]구분표!$G$2:$G$311='071추일입'!A65),0)))</f>
        <v/>
      </c>
      <c r="AK65" s="188"/>
      <c r="AM65" s="186">
        <f>IF(AG65="",0,SUMIFS('071추일출'!$Z$6:$Z$18,'071추일출'!$AI$6:$AI$18,'071추일입'!$AG65))</f>
        <v>0</v>
      </c>
      <c r="AN65" s="186" t="str">
        <f>IF(AG65="","",COUNTIFS('071추일출'!$AI$6:$AI$18,'071추일입'!AG65))</f>
        <v/>
      </c>
      <c r="AO65" s="188" t="str">
        <f t="shared" si="10"/>
        <v>OK</v>
      </c>
      <c r="AQ65" s="186">
        <f>IF(AG65="",0,SUMIFS('071추일출'!$AE$6:$AE$18,'071추일출'!$AI$6:$AI$18,'071추일입'!$AG65))</f>
        <v>0</v>
      </c>
      <c r="AR65" s="186" t="str">
        <f>IF(AG65="","",COUNTIFS('071추일출'!$AI$6:$AI$18,AG65))</f>
        <v/>
      </c>
      <c r="AS65" s="188" t="str">
        <f t="shared" si="11"/>
        <v>OK</v>
      </c>
    </row>
    <row r="66" spans="1:45" ht="50.1" customHeight="1">
      <c r="A66" s="486"/>
      <c r="B66" s="487"/>
      <c r="C66" s="488"/>
      <c r="D66" s="489"/>
      <c r="E66" s="490"/>
      <c r="F66" s="489"/>
      <c r="G66" s="501"/>
      <c r="H66" s="186"/>
      <c r="I66" s="186"/>
      <c r="J66" s="229" t="str">
        <f t="shared" si="12"/>
        <v/>
      </c>
      <c r="K66" s="186"/>
      <c r="L66" s="492"/>
      <c r="M66" s="493">
        <f t="shared" si="2"/>
        <v>0</v>
      </c>
      <c r="N66" s="494"/>
      <c r="O66" s="495"/>
      <c r="P66" s="496">
        <f t="shared" si="3"/>
        <v>0</v>
      </c>
      <c r="Q66" s="187" t="str">
        <f t="shared" si="13"/>
        <v>X</v>
      </c>
      <c r="R66" s="187"/>
      <c r="S66" s="187"/>
      <c r="T66" s="497"/>
      <c r="U66" s="188"/>
      <c r="W66" s="188"/>
      <c r="X66" s="186">
        <f t="shared" si="4"/>
        <v>0</v>
      </c>
      <c r="Y66" s="186">
        <f t="shared" si="5"/>
        <v>0</v>
      </c>
      <c r="Z66" s="188" t="str">
        <f t="shared" si="6"/>
        <v>OK</v>
      </c>
      <c r="AB66" s="188"/>
      <c r="AC66" s="186">
        <f t="shared" si="7"/>
        <v>0</v>
      </c>
      <c r="AD66" s="186">
        <f t="shared" si="8"/>
        <v>0</v>
      </c>
      <c r="AE66" s="188" t="str">
        <f t="shared" si="9"/>
        <v>OK</v>
      </c>
      <c r="AG66" s="188" t="str">
        <f>IF(AI66="","",IF(W66="도비","세입없음",CONCATENATE(AI66,"-",COUNTIF($AI$7:AI66,AI66))))</f>
        <v/>
      </c>
      <c r="AI66" s="188" t="str">
        <f t="array" ref="AI66">IF(C66="","",INDEX([1]구분표!$I$2:$I$311, MATCH(1,([1]구분표!$E$2:$E$311='071추일입'!B66)*([1]구분표!$F$2:$F$311='071추일입'!C66)*([1]구분표!$G$2:$G$311='071추일입'!A66),0)))</f>
        <v/>
      </c>
      <c r="AK66" s="188"/>
      <c r="AM66" s="186">
        <f>IF(AG66="",0,SUMIFS('071추일출'!$Z$6:$Z$18,'071추일출'!$AI$6:$AI$18,'071추일입'!$AG66))</f>
        <v>0</v>
      </c>
      <c r="AN66" s="186" t="str">
        <f>IF(AG66="","",COUNTIFS('071추일출'!$AI$6:$AI$18,'071추일입'!AG66))</f>
        <v/>
      </c>
      <c r="AO66" s="188" t="str">
        <f t="shared" si="10"/>
        <v>OK</v>
      </c>
      <c r="AQ66" s="186">
        <f>IF(AG66="",0,SUMIFS('071추일출'!$AE$6:$AE$18,'071추일출'!$AI$6:$AI$18,'071추일입'!$AG66))</f>
        <v>0</v>
      </c>
      <c r="AR66" s="186" t="str">
        <f>IF(AG66="","",COUNTIFS('071추일출'!$AI$6:$AI$18,AG66))</f>
        <v/>
      </c>
      <c r="AS66" s="188" t="str">
        <f t="shared" si="11"/>
        <v>OK</v>
      </c>
    </row>
    <row r="67" spans="1:45" ht="50.1" customHeight="1">
      <c r="A67" s="486"/>
      <c r="B67" s="487"/>
      <c r="C67" s="488"/>
      <c r="D67" s="489"/>
      <c r="E67" s="490"/>
      <c r="F67" s="489"/>
      <c r="G67" s="501"/>
      <c r="H67" s="186"/>
      <c r="I67" s="186"/>
      <c r="J67" s="229" t="str">
        <f t="shared" si="12"/>
        <v/>
      </c>
      <c r="K67" s="186"/>
      <c r="L67" s="492"/>
      <c r="M67" s="493">
        <f t="shared" si="2"/>
        <v>0</v>
      </c>
      <c r="N67" s="494"/>
      <c r="O67" s="495"/>
      <c r="P67" s="496">
        <f t="shared" si="3"/>
        <v>0</v>
      </c>
      <c r="Q67" s="187" t="str">
        <f t="shared" si="13"/>
        <v>X</v>
      </c>
      <c r="R67" s="187"/>
      <c r="S67" s="187"/>
      <c r="T67" s="497"/>
      <c r="U67" s="188"/>
      <c r="W67" s="188"/>
      <c r="X67" s="186">
        <f t="shared" si="4"/>
        <v>0</v>
      </c>
      <c r="Y67" s="186">
        <f t="shared" si="5"/>
        <v>0</v>
      </c>
      <c r="Z67" s="188" t="str">
        <f t="shared" si="6"/>
        <v>OK</v>
      </c>
      <c r="AB67" s="188"/>
      <c r="AC67" s="186">
        <f t="shared" si="7"/>
        <v>0</v>
      </c>
      <c r="AD67" s="186">
        <f t="shared" si="8"/>
        <v>0</v>
      </c>
      <c r="AE67" s="188" t="str">
        <f t="shared" si="9"/>
        <v>OK</v>
      </c>
      <c r="AG67" s="188" t="str">
        <f>IF(AI67="","",IF(W67="도비","세입없음",CONCATENATE(AI67,"-",COUNTIF($AI$7:AI67,AI67))))</f>
        <v/>
      </c>
      <c r="AI67" s="188" t="str">
        <f t="array" ref="AI67">IF(C67="","",INDEX([1]구분표!$I$2:$I$311, MATCH(1,([1]구분표!$E$2:$E$311='071추일입'!B67)*([1]구분표!$F$2:$F$311='071추일입'!C67)*([1]구분표!$G$2:$G$311='071추일입'!A67),0)))</f>
        <v/>
      </c>
      <c r="AK67" s="188"/>
      <c r="AM67" s="186">
        <f>IF(AG67="",0,SUMIFS('071추일출'!$Z$6:$Z$18,'071추일출'!$AI$6:$AI$18,'071추일입'!$AG67))</f>
        <v>0</v>
      </c>
      <c r="AN67" s="186" t="str">
        <f>IF(AG67="","",COUNTIFS('071추일출'!$AI$6:$AI$18,'071추일입'!AG67))</f>
        <v/>
      </c>
      <c r="AO67" s="188" t="str">
        <f t="shared" si="10"/>
        <v>OK</v>
      </c>
      <c r="AQ67" s="186">
        <f>IF(AG67="",0,SUMIFS('071추일출'!$AE$6:$AE$18,'071추일출'!$AI$6:$AI$18,'071추일입'!$AG67))</f>
        <v>0</v>
      </c>
      <c r="AR67" s="186" t="str">
        <f>IF(AG67="","",COUNTIFS('071추일출'!$AI$6:$AI$18,AG67))</f>
        <v/>
      </c>
      <c r="AS67" s="188" t="str">
        <f t="shared" si="11"/>
        <v>OK</v>
      </c>
    </row>
    <row r="68" spans="1:45" ht="50.1" customHeight="1">
      <c r="A68" s="486"/>
      <c r="B68" s="487"/>
      <c r="C68" s="488"/>
      <c r="D68" s="489"/>
      <c r="E68" s="490"/>
      <c r="F68" s="489"/>
      <c r="G68" s="501"/>
      <c r="H68" s="186"/>
      <c r="I68" s="186"/>
      <c r="J68" s="229" t="str">
        <f t="shared" si="12"/>
        <v/>
      </c>
      <c r="K68" s="186"/>
      <c r="L68" s="492"/>
      <c r="M68" s="493">
        <f t="shared" si="2"/>
        <v>0</v>
      </c>
      <c r="N68" s="494"/>
      <c r="O68" s="495"/>
      <c r="P68" s="496">
        <f t="shared" si="3"/>
        <v>0</v>
      </c>
      <c r="Q68" s="187" t="str">
        <f t="shared" si="13"/>
        <v>X</v>
      </c>
      <c r="R68" s="187"/>
      <c r="S68" s="187"/>
      <c r="T68" s="497"/>
      <c r="U68" s="188"/>
      <c r="W68" s="188"/>
      <c r="X68" s="186">
        <f t="shared" si="4"/>
        <v>0</v>
      </c>
      <c r="Y68" s="186">
        <f t="shared" si="5"/>
        <v>0</v>
      </c>
      <c r="Z68" s="188" t="str">
        <f t="shared" si="6"/>
        <v>OK</v>
      </c>
      <c r="AB68" s="188"/>
      <c r="AC68" s="186">
        <f t="shared" si="7"/>
        <v>0</v>
      </c>
      <c r="AD68" s="186">
        <f t="shared" si="8"/>
        <v>0</v>
      </c>
      <c r="AE68" s="188" t="str">
        <f t="shared" si="9"/>
        <v>OK</v>
      </c>
      <c r="AG68" s="188" t="str">
        <f>IF(AI68="","",IF(W68="도비","세입없음",CONCATENATE(AI68,"-",COUNTIF($AI$7:AI68,AI68))))</f>
        <v/>
      </c>
      <c r="AI68" s="188" t="str">
        <f t="array" ref="AI68">IF(C68="","",INDEX([1]구분표!$I$2:$I$311, MATCH(1,([1]구분표!$E$2:$E$311='071추일입'!B68)*([1]구분표!$F$2:$F$311='071추일입'!C68)*([1]구분표!$G$2:$G$311='071추일입'!A68),0)))</f>
        <v/>
      </c>
      <c r="AK68" s="188"/>
      <c r="AM68" s="186">
        <f>IF(AG68="",0,SUMIFS('071추일출'!$Z$6:$Z$18,'071추일출'!$AI$6:$AI$18,'071추일입'!$AG68))</f>
        <v>0</v>
      </c>
      <c r="AN68" s="186" t="str">
        <f>IF(AG68="","",COUNTIFS('071추일출'!$AI$6:$AI$18,'071추일입'!AG68))</f>
        <v/>
      </c>
      <c r="AO68" s="188" t="str">
        <f t="shared" si="10"/>
        <v>OK</v>
      </c>
      <c r="AQ68" s="186">
        <f>IF(AG68="",0,SUMIFS('071추일출'!$AE$6:$AE$18,'071추일출'!$AI$6:$AI$18,'071추일입'!$AG68))</f>
        <v>0</v>
      </c>
      <c r="AR68" s="186" t="str">
        <f>IF(AG68="","",COUNTIFS('071추일출'!$AI$6:$AI$18,AG68))</f>
        <v/>
      </c>
      <c r="AS68" s="188" t="str">
        <f t="shared" si="11"/>
        <v>OK</v>
      </c>
    </row>
    <row r="69" spans="1:45" ht="50.1" customHeight="1">
      <c r="A69" s="486"/>
      <c r="B69" s="487"/>
      <c r="C69" s="488"/>
      <c r="D69" s="489"/>
      <c r="E69" s="490"/>
      <c r="F69" s="489"/>
      <c r="G69" s="501"/>
      <c r="H69" s="186"/>
      <c r="I69" s="186"/>
      <c r="J69" s="229" t="str">
        <f t="shared" si="12"/>
        <v/>
      </c>
      <c r="K69" s="186"/>
      <c r="L69" s="492"/>
      <c r="M69" s="493">
        <f t="shared" si="2"/>
        <v>0</v>
      </c>
      <c r="N69" s="494"/>
      <c r="O69" s="495"/>
      <c r="P69" s="496">
        <f t="shared" si="3"/>
        <v>0</v>
      </c>
      <c r="Q69" s="187" t="str">
        <f t="shared" si="13"/>
        <v>X</v>
      </c>
      <c r="R69" s="187"/>
      <c r="S69" s="187"/>
      <c r="T69" s="497"/>
      <c r="U69" s="188"/>
      <c r="W69" s="188"/>
      <c r="X69" s="186">
        <f t="shared" si="4"/>
        <v>0</v>
      </c>
      <c r="Y69" s="186">
        <f t="shared" si="5"/>
        <v>0</v>
      </c>
      <c r="Z69" s="188" t="str">
        <f t="shared" si="6"/>
        <v>OK</v>
      </c>
      <c r="AB69" s="188"/>
      <c r="AC69" s="186">
        <f t="shared" si="7"/>
        <v>0</v>
      </c>
      <c r="AD69" s="186">
        <f t="shared" si="8"/>
        <v>0</v>
      </c>
      <c r="AE69" s="188" t="str">
        <f t="shared" si="9"/>
        <v>OK</v>
      </c>
      <c r="AG69" s="188" t="str">
        <f>IF(AI69="","",IF(W69="도비","세입없음",CONCATENATE(AI69,"-",COUNTIF($AI$7:AI69,AI69))))</f>
        <v/>
      </c>
      <c r="AI69" s="188" t="str">
        <f t="array" ref="AI69">IF(C69="","",INDEX([1]구분표!$I$2:$I$311, MATCH(1,([1]구분표!$E$2:$E$311='071추일입'!B69)*([1]구분표!$F$2:$F$311='071추일입'!C69)*([1]구분표!$G$2:$G$311='071추일입'!A69),0)))</f>
        <v/>
      </c>
      <c r="AK69" s="188"/>
      <c r="AM69" s="186">
        <f>IF(AG69="",0,SUMIFS('071추일출'!$Z$6:$Z$18,'071추일출'!$AI$6:$AI$18,'071추일입'!$AG69))</f>
        <v>0</v>
      </c>
      <c r="AN69" s="186" t="str">
        <f>IF(AG69="","",COUNTIFS('071추일출'!$AI$6:$AI$18,'071추일입'!AG69))</f>
        <v/>
      </c>
      <c r="AO69" s="188" t="str">
        <f t="shared" si="10"/>
        <v>OK</v>
      </c>
      <c r="AQ69" s="186">
        <f>IF(AG69="",0,SUMIFS('071추일출'!$AE$6:$AE$18,'071추일출'!$AI$6:$AI$18,'071추일입'!$AG69))</f>
        <v>0</v>
      </c>
      <c r="AR69" s="186" t="str">
        <f>IF(AG69="","",COUNTIFS('071추일출'!$AI$6:$AI$18,AG69))</f>
        <v/>
      </c>
      <c r="AS69" s="188" t="str">
        <f t="shared" si="11"/>
        <v>OK</v>
      </c>
    </row>
    <row r="70" spans="1:45" ht="50.1" customHeight="1">
      <c r="A70" s="486"/>
      <c r="B70" s="487"/>
      <c r="C70" s="488"/>
      <c r="D70" s="489"/>
      <c r="E70" s="490"/>
      <c r="F70" s="489"/>
      <c r="G70" s="501"/>
      <c r="H70" s="186"/>
      <c r="I70" s="186"/>
      <c r="J70" s="229" t="str">
        <f t="shared" si="12"/>
        <v/>
      </c>
      <c r="K70" s="186"/>
      <c r="L70" s="492"/>
      <c r="M70" s="493">
        <f t="shared" si="2"/>
        <v>0</v>
      </c>
      <c r="N70" s="494"/>
      <c r="O70" s="495"/>
      <c r="P70" s="496">
        <f t="shared" si="3"/>
        <v>0</v>
      </c>
      <c r="Q70" s="187" t="str">
        <f t="shared" si="13"/>
        <v>X</v>
      </c>
      <c r="R70" s="187"/>
      <c r="S70" s="187"/>
      <c r="T70" s="497"/>
      <c r="U70" s="188"/>
      <c r="W70" s="188"/>
      <c r="X70" s="186">
        <f t="shared" si="4"/>
        <v>0</v>
      </c>
      <c r="Y70" s="186">
        <f t="shared" si="5"/>
        <v>0</v>
      </c>
      <c r="Z70" s="188" t="str">
        <f t="shared" si="6"/>
        <v>OK</v>
      </c>
      <c r="AB70" s="188"/>
      <c r="AC70" s="186">
        <f t="shared" si="7"/>
        <v>0</v>
      </c>
      <c r="AD70" s="186">
        <f t="shared" si="8"/>
        <v>0</v>
      </c>
      <c r="AE70" s="188" t="str">
        <f t="shared" si="9"/>
        <v>OK</v>
      </c>
      <c r="AG70" s="188" t="str">
        <f>IF(AI70="","",IF(W70="도비","세입없음",CONCATENATE(AI70,"-",COUNTIF($AI$7:AI70,AI70))))</f>
        <v/>
      </c>
      <c r="AI70" s="188" t="str">
        <f t="array" ref="AI70">IF(C70="","",INDEX([1]구분표!$I$2:$I$311, MATCH(1,([1]구분표!$E$2:$E$311='071추일입'!B70)*([1]구분표!$F$2:$F$311='071추일입'!C70)*([1]구분표!$G$2:$G$311='071추일입'!A70),0)))</f>
        <v/>
      </c>
      <c r="AK70" s="188"/>
      <c r="AM70" s="186">
        <f>IF(AG70="",0,SUMIFS('071추일출'!$Z$6:$Z$18,'071추일출'!$AI$6:$AI$18,'071추일입'!$AG70))</f>
        <v>0</v>
      </c>
      <c r="AN70" s="186" t="str">
        <f>IF(AG70="","",COUNTIFS('071추일출'!$AI$6:$AI$18,'071추일입'!AG70))</f>
        <v/>
      </c>
      <c r="AO70" s="188" t="str">
        <f t="shared" si="10"/>
        <v>OK</v>
      </c>
      <c r="AQ70" s="186">
        <f>IF(AG70="",0,SUMIFS('071추일출'!$AE$6:$AE$18,'071추일출'!$AI$6:$AI$18,'071추일입'!$AG70))</f>
        <v>0</v>
      </c>
      <c r="AR70" s="186" t="str">
        <f>IF(AG70="","",COUNTIFS('071추일출'!$AI$6:$AI$18,AG70))</f>
        <v/>
      </c>
      <c r="AS70" s="188" t="str">
        <f t="shared" si="11"/>
        <v>OK</v>
      </c>
    </row>
    <row r="71" spans="1:45" ht="50.1" customHeight="1">
      <c r="A71" s="486"/>
      <c r="B71" s="487"/>
      <c r="C71" s="488"/>
      <c r="D71" s="489"/>
      <c r="E71" s="490"/>
      <c r="F71" s="489"/>
      <c r="G71" s="501"/>
      <c r="H71" s="186"/>
      <c r="I71" s="186"/>
      <c r="J71" s="229" t="str">
        <f t="shared" si="12"/>
        <v/>
      </c>
      <c r="K71" s="186"/>
      <c r="L71" s="492"/>
      <c r="M71" s="493">
        <f t="shared" ref="M71:M72" si="14">SUM(J71:L71)</f>
        <v>0</v>
      </c>
      <c r="N71" s="494"/>
      <c r="O71" s="495"/>
      <c r="P71" s="496">
        <f t="shared" ref="P71:P72" si="15">SUM(J71,N71,O71)</f>
        <v>0</v>
      </c>
      <c r="Q71" s="187" t="str">
        <f t="shared" si="13"/>
        <v>X</v>
      </c>
      <c r="R71" s="187"/>
      <c r="S71" s="187"/>
      <c r="T71" s="497"/>
      <c r="U71" s="188"/>
      <c r="W71" s="188"/>
      <c r="X71" s="186">
        <f t="shared" ref="X71:X72" si="16">IF($W71&lt;&gt;"도비",IF($U71="국도비","직접입력",SUM($K71:$L71)),)</f>
        <v>0</v>
      </c>
      <c r="Y71" s="186">
        <f t="shared" ref="Y71:Y72" si="17">IF($W71="도비",SUM($K71:$L71),IF($U71="국도비","직접입력",SUM($K71:$L71)-$X71))</f>
        <v>0</v>
      </c>
      <c r="Z71" s="188" t="str">
        <f t="shared" ref="Z71:Z72" si="18">IF(SUM($K71:$L71)=SUM($X71:$Y71),"OK","검토")</f>
        <v>OK</v>
      </c>
      <c r="AB71" s="188"/>
      <c r="AC71" s="186">
        <f t="shared" ref="AC71:AC72" si="19">IF($W71&lt;&gt;"도비",IF($U71="국도비","직접입력",SUM($N71:$O71)),)</f>
        <v>0</v>
      </c>
      <c r="AD71" s="186">
        <f t="shared" ref="AD71:AD72" si="20">IF($W71="도비",SUM(N71:O71),IF($U71="국도비","직접입력",SUM(N71:O71)-AC71))</f>
        <v>0</v>
      </c>
      <c r="AE71" s="188" t="str">
        <f t="shared" ref="AE71:AE72" si="21">IF(SUM(N71:O71)=SUM(AC71:AD71),"OK","검토")</f>
        <v>OK</v>
      </c>
      <c r="AG71" s="188" t="str">
        <f>IF(AI71="","",IF(W71="도비","세입없음",CONCATENATE(AI71,"-",COUNTIF($AI$7:AI71,AI71))))</f>
        <v/>
      </c>
      <c r="AI71" s="188" t="str">
        <f t="array" ref="AI71">IF(C71="","",INDEX([1]구분표!$I$2:$I$311, MATCH(1,([1]구분표!$E$2:$E$311='071추일입'!B71)*([1]구분표!$F$2:$F$311='071추일입'!C71)*([1]구분표!$G$2:$G$311='071추일입'!A71),0)))</f>
        <v/>
      </c>
      <c r="AK71" s="188"/>
      <c r="AM71" s="186">
        <f>IF(AG71="",0,SUMIFS('071추일출'!$Z$6:$Z$18,'071추일출'!$AI$6:$AI$18,'071추일입'!$AG71))</f>
        <v>0</v>
      </c>
      <c r="AN71" s="186" t="str">
        <f>IF(AG71="","",COUNTIFS('071추일출'!$AI$6:$AI$18,'071추일입'!AG71))</f>
        <v/>
      </c>
      <c r="AO71" s="188" t="str">
        <f t="shared" ref="AO71:AO72" si="22">IF(X71=AM71,"OK","@@")</f>
        <v>OK</v>
      </c>
      <c r="AQ71" s="186">
        <f>IF(AG71="",0,SUMIFS('071추일출'!$AE$6:$AE$18,'071추일출'!$AI$6:$AI$18,'071추일입'!$AG71))</f>
        <v>0</v>
      </c>
      <c r="AR71" s="186" t="str">
        <f>IF(AG71="","",COUNTIFS('071추일출'!$AI$6:$AI$18,AG71))</f>
        <v/>
      </c>
      <c r="AS71" s="188" t="str">
        <f t="shared" ref="AS71:AS72" si="23">IF(AC71=AQ71,"OK","@@")</f>
        <v>OK</v>
      </c>
    </row>
    <row r="72" spans="1:45" ht="50.1" customHeight="1">
      <c r="A72" s="502"/>
      <c r="B72" s="503"/>
      <c r="C72" s="504"/>
      <c r="D72" s="505"/>
      <c r="E72" s="506"/>
      <c r="F72" s="505"/>
      <c r="G72" s="507"/>
      <c r="H72" s="186"/>
      <c r="I72" s="186"/>
      <c r="J72" s="229" t="str">
        <f t="shared" ref="J72" si="24">IF(D72="","",H72-I72)</f>
        <v/>
      </c>
      <c r="K72" s="508"/>
      <c r="L72" s="509"/>
      <c r="M72" s="510">
        <f t="shared" si="14"/>
        <v>0</v>
      </c>
      <c r="N72" s="511"/>
      <c r="O72" s="512"/>
      <c r="P72" s="513">
        <f t="shared" si="15"/>
        <v>0</v>
      </c>
      <c r="Q72" s="514" t="str">
        <f t="shared" si="13"/>
        <v>X</v>
      </c>
      <c r="R72" s="514"/>
      <c r="S72" s="514"/>
      <c r="T72" s="515"/>
      <c r="U72" s="188"/>
      <c r="W72" s="188"/>
      <c r="X72" s="186">
        <f t="shared" si="16"/>
        <v>0</v>
      </c>
      <c r="Y72" s="186">
        <f t="shared" si="17"/>
        <v>0</v>
      </c>
      <c r="Z72" s="188" t="str">
        <f t="shared" si="18"/>
        <v>OK</v>
      </c>
      <c r="AB72" s="188"/>
      <c r="AC72" s="186">
        <f t="shared" si="19"/>
        <v>0</v>
      </c>
      <c r="AD72" s="186">
        <f t="shared" si="20"/>
        <v>0</v>
      </c>
      <c r="AE72" s="188" t="str">
        <f t="shared" si="21"/>
        <v>OK</v>
      </c>
      <c r="AG72" s="188" t="str">
        <f>IF(AI72="","",IF(W72="도비","세입없음",CONCATENATE(AI72,"-",COUNTIF($AI$7:AI72,AI72))))</f>
        <v/>
      </c>
      <c r="AI72" s="188" t="str">
        <f t="array" ref="AI72">IF(C72="","",INDEX([1]구분표!$I$2:$I$311, MATCH(1,([1]구분표!$E$2:$E$311='071추일입'!B72)*([1]구분표!$F$2:$F$311='071추일입'!C72)*([1]구분표!$G$2:$G$311='071추일입'!A72),0)))</f>
        <v/>
      </c>
      <c r="AK72" s="188"/>
      <c r="AM72" s="186">
        <f>IF(AG72="",0,SUMIFS('071추일출'!$Z$6:$Z$18,'071추일출'!$AI$6:$AI$18,'071추일입'!$AG72))</f>
        <v>0</v>
      </c>
      <c r="AN72" s="186" t="str">
        <f>IF(AG72="","",COUNTIFS('071추일출'!$AI$6:$AI$18,'071추일입'!AG72))</f>
        <v/>
      </c>
      <c r="AO72" s="188" t="str">
        <f t="shared" si="22"/>
        <v>OK</v>
      </c>
      <c r="AQ72" s="186">
        <f>IF(AG72="",0,SUMIFS('071추일출'!$AE$6:$AE$18,'071추일출'!$AI$6:$AI$18,'071추일입'!$AG72))</f>
        <v>0</v>
      </c>
      <c r="AR72" s="186" t="str">
        <f>IF(AG72="","",COUNTIFS('071추일출'!$AI$6:$AI$18,AG72))</f>
        <v/>
      </c>
      <c r="AS72" s="188" t="str">
        <f t="shared" si="23"/>
        <v>OK</v>
      </c>
    </row>
  </sheetData>
  <sheetProtection formatCells="0" autoFilter="0"/>
  <autoFilter ref="A6:AS6"/>
  <mergeCells count="28">
    <mergeCell ref="AI4:AI5"/>
    <mergeCell ref="AK4:AK5"/>
    <mergeCell ref="AM4:AO4"/>
    <mergeCell ref="AQ4:AS4"/>
    <mergeCell ref="U4:U5"/>
    <mergeCell ref="W4:W5"/>
    <mergeCell ref="X4:Z4"/>
    <mergeCell ref="AB4:AB5"/>
    <mergeCell ref="AC4:AE4"/>
    <mergeCell ref="AG4:AG5"/>
    <mergeCell ref="T4:T5"/>
    <mergeCell ref="G4:G5"/>
    <mergeCell ref="H4:H5"/>
    <mergeCell ref="I4:I5"/>
    <mergeCell ref="J4:J5"/>
    <mergeCell ref="K4:L4"/>
    <mergeCell ref="M4:M5"/>
    <mergeCell ref="N4:O4"/>
    <mergeCell ref="P4:P5"/>
    <mergeCell ref="Q4:Q5"/>
    <mergeCell ref="R4:R5"/>
    <mergeCell ref="S4:S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6:D72">
      <formula1>"본예산,1회추경,신규"</formula1>
    </dataValidation>
    <dataValidation type="list" allowBlank="1" showInputMessage="1" showErrorMessage="1" sqref="AB7:AB72 W7:W72">
      <formula1>"도비,국비,지특,기금,특교"</formula1>
    </dataValidation>
    <dataValidation type="list" allowBlank="1" showInputMessage="1" showErrorMessage="1" sqref="U7:U72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8"/>
  <sheetViews>
    <sheetView view="pageBreakPreview" zoomScale="70" zoomScaleNormal="70" zoomScaleSheetLayoutView="70" workbookViewId="0">
      <pane xSplit="9" ySplit="5" topLeftCell="K6" activePane="bottomRight" state="frozen"/>
      <selection activeCell="G15" sqref="G15"/>
      <selection pane="topRight" activeCell="G15" sqref="G15"/>
      <selection pane="bottomLeft" activeCell="G15" sqref="G15"/>
      <selection pane="bottomRight" activeCell="G15" sqref="G15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173" customWidth="1"/>
    <col min="10" max="11" width="14.625" style="173" customWidth="1"/>
    <col min="12" max="12" width="15.625" style="173" customWidth="1"/>
    <col min="13" max="14" width="13.125" style="173" customWidth="1"/>
    <col min="15" max="15" width="15.625" style="173" customWidth="1"/>
    <col min="16" max="17" width="12.125" style="173" customWidth="1"/>
    <col min="18" max="18" width="15.625" style="198" customWidth="1"/>
    <col min="19" max="19" width="7.625" style="173" customWidth="1"/>
    <col min="20" max="20" width="17.125" style="173" bestFit="1" customWidth="1"/>
    <col min="21" max="21" width="41.125" style="173" customWidth="1"/>
    <col min="22" max="22" width="35.625" style="175" customWidth="1"/>
    <col min="23" max="23" width="6.625" style="173" customWidth="1"/>
    <col min="24" max="24" width="2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16384" width="9" style="173"/>
  </cols>
  <sheetData>
    <row r="1" spans="1:42" ht="35.1" customHeight="1">
      <c r="B1" s="170" t="s">
        <v>925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89"/>
      <c r="S1" s="171"/>
      <c r="T1" s="171"/>
      <c r="U1" s="171"/>
      <c r="V1" s="172"/>
    </row>
    <row r="2" spans="1:42" ht="20.25" customHeight="1">
      <c r="B2" s="174" t="s">
        <v>926</v>
      </c>
      <c r="L2" s="190"/>
      <c r="M2" s="190"/>
      <c r="N2" s="190"/>
      <c r="O2" s="190"/>
      <c r="P2" s="190"/>
      <c r="Q2" s="199" t="e">
        <f>R2-'071추일입'!P2</f>
        <v>#REF!</v>
      </c>
      <c r="R2" s="516" t="e">
        <f>#REF!-#REF!</f>
        <v>#REF!</v>
      </c>
      <c r="Z2" s="176" t="s">
        <v>888</v>
      </c>
      <c r="AE2" s="176" t="s">
        <v>888</v>
      </c>
    </row>
    <row r="3" spans="1:42" ht="20.25" customHeight="1">
      <c r="L3" s="191">
        <f t="shared" ref="L3:R3" si="0">SUM(L6:L150)/2</f>
        <v>5270176</v>
      </c>
      <c r="M3" s="191">
        <f t="shared" si="0"/>
        <v>-330000</v>
      </c>
      <c r="N3" s="191">
        <f t="shared" si="0"/>
        <v>2685001</v>
      </c>
      <c r="O3" s="191">
        <f t="shared" si="0"/>
        <v>7625177</v>
      </c>
      <c r="P3" s="191">
        <f t="shared" si="0"/>
        <v>0</v>
      </c>
      <c r="Q3" s="191">
        <f t="shared" si="0"/>
        <v>0</v>
      </c>
      <c r="R3" s="191">
        <f t="shared" si="0"/>
        <v>5270176</v>
      </c>
      <c r="V3" s="178" t="s">
        <v>927</v>
      </c>
      <c r="Z3" s="179" t="e">
        <f>IF(#REF!='071추일입'!X6,"OK","@@")</f>
        <v>#REF!</v>
      </c>
      <c r="AA3" s="192" t="e">
        <f>#REF!+#REF!-#REF!-#REF!</f>
        <v>#REF!</v>
      </c>
      <c r="AB3" s="179" t="str">
        <f>IF(COUNTIF(AB6:AB18,"검토")&gt;0,"@@","OK")</f>
        <v>OK</v>
      </c>
      <c r="AE3" s="179" t="e">
        <f>IF(#REF!='071추일입'!AC6,"OK","@@")</f>
        <v>#REF!</v>
      </c>
      <c r="AF3" s="181" t="e">
        <f>#REF!+#REF!-#REF!-#REF!</f>
        <v>#REF!</v>
      </c>
      <c r="AG3" s="179" t="str">
        <f>IF(COUNTIF(AG6:AG18,"검토")&gt;0,"@@","OK")</f>
        <v>OK</v>
      </c>
    </row>
    <row r="4" spans="1:42" s="205" customFormat="1" ht="30" customHeight="1">
      <c r="A4" s="689" t="s">
        <v>928</v>
      </c>
      <c r="B4" s="704" t="s">
        <v>929</v>
      </c>
      <c r="C4" s="706" t="s">
        <v>930</v>
      </c>
      <c r="D4" s="693" t="s">
        <v>931</v>
      </c>
      <c r="E4" s="687" t="s">
        <v>932</v>
      </c>
      <c r="F4" s="687" t="s">
        <v>933</v>
      </c>
      <c r="G4" s="696" t="s">
        <v>934</v>
      </c>
      <c r="H4" s="687" t="s">
        <v>935</v>
      </c>
      <c r="I4" s="699" t="s">
        <v>936</v>
      </c>
      <c r="J4" s="663" t="s">
        <v>937</v>
      </c>
      <c r="K4" s="665" t="s">
        <v>938</v>
      </c>
      <c r="L4" s="708" t="s">
        <v>939</v>
      </c>
      <c r="M4" s="633" t="s">
        <v>940</v>
      </c>
      <c r="N4" s="634"/>
      <c r="O4" s="635" t="s">
        <v>941</v>
      </c>
      <c r="P4" s="700" t="s">
        <v>942</v>
      </c>
      <c r="Q4" s="701"/>
      <c r="R4" s="710" t="s">
        <v>943</v>
      </c>
      <c r="S4" s="644" t="s">
        <v>944</v>
      </c>
      <c r="T4" s="646" t="s">
        <v>945</v>
      </c>
      <c r="U4" s="646" t="s">
        <v>946</v>
      </c>
      <c r="V4" s="643" t="s">
        <v>947</v>
      </c>
      <c r="W4" s="575" t="s">
        <v>948</v>
      </c>
      <c r="Y4" s="576" t="s">
        <v>949</v>
      </c>
      <c r="Z4" s="579" t="s">
        <v>950</v>
      </c>
      <c r="AA4" s="579"/>
      <c r="AB4" s="579"/>
      <c r="AD4" s="577" t="s">
        <v>949</v>
      </c>
      <c r="AE4" s="572" t="s">
        <v>951</v>
      </c>
      <c r="AF4" s="572"/>
      <c r="AG4" s="572"/>
      <c r="AI4" s="576" t="s">
        <v>952</v>
      </c>
      <c r="AK4" s="593" t="s">
        <v>953</v>
      </c>
      <c r="AL4" s="595" t="s">
        <v>954</v>
      </c>
      <c r="AN4" s="578" t="s">
        <v>913</v>
      </c>
      <c r="AP4" s="578" t="s">
        <v>914</v>
      </c>
    </row>
    <row r="5" spans="1:42" s="205" customFormat="1" ht="29.25" customHeight="1">
      <c r="A5" s="690"/>
      <c r="B5" s="705"/>
      <c r="C5" s="707"/>
      <c r="D5" s="694"/>
      <c r="E5" s="695"/>
      <c r="F5" s="688"/>
      <c r="G5" s="697"/>
      <c r="H5" s="688"/>
      <c r="I5" s="695"/>
      <c r="J5" s="664"/>
      <c r="K5" s="666"/>
      <c r="L5" s="709"/>
      <c r="M5" s="230" t="s">
        <v>917</v>
      </c>
      <c r="N5" s="230" t="s">
        <v>918</v>
      </c>
      <c r="O5" s="636"/>
      <c r="P5" s="227" t="s">
        <v>917</v>
      </c>
      <c r="Q5" s="227" t="s">
        <v>918</v>
      </c>
      <c r="R5" s="711"/>
      <c r="S5" s="698"/>
      <c r="T5" s="647"/>
      <c r="U5" s="647"/>
      <c r="V5" s="644"/>
      <c r="W5" s="576"/>
      <c r="Y5" s="576"/>
      <c r="Z5" s="478" t="s">
        <v>919</v>
      </c>
      <c r="AA5" s="478" t="s">
        <v>920</v>
      </c>
      <c r="AB5" s="478" t="s">
        <v>921</v>
      </c>
      <c r="AD5" s="577"/>
      <c r="AE5" s="477" t="s">
        <v>919</v>
      </c>
      <c r="AF5" s="477" t="s">
        <v>920</v>
      </c>
      <c r="AG5" s="477" t="s">
        <v>921</v>
      </c>
      <c r="AI5" s="576"/>
      <c r="AK5" s="594"/>
      <c r="AL5" s="596"/>
      <c r="AN5" s="577"/>
      <c r="AP5" s="577"/>
    </row>
    <row r="6" spans="1:42" ht="60" customHeight="1">
      <c r="A6" s="517"/>
      <c r="B6" s="518" t="s">
        <v>955</v>
      </c>
      <c r="C6" s="519"/>
      <c r="D6" s="520"/>
      <c r="E6" s="519"/>
      <c r="F6" s="521"/>
      <c r="G6" s="520"/>
      <c r="H6" s="519"/>
      <c r="I6" s="522"/>
      <c r="J6" s="523">
        <f t="shared" ref="J6:R6" si="1">SUBTOTAL(9,J7:J18)</f>
        <v>95025176</v>
      </c>
      <c r="K6" s="523">
        <f t="shared" si="1"/>
        <v>89755000</v>
      </c>
      <c r="L6" s="524">
        <f t="shared" si="1"/>
        <v>5270176</v>
      </c>
      <c r="M6" s="524">
        <f t="shared" si="1"/>
        <v>-330000</v>
      </c>
      <c r="N6" s="524">
        <f t="shared" si="1"/>
        <v>2685001</v>
      </c>
      <c r="O6" s="525">
        <f t="shared" si="1"/>
        <v>7625177</v>
      </c>
      <c r="P6" s="524">
        <f t="shared" si="1"/>
        <v>0</v>
      </c>
      <c r="Q6" s="524">
        <f t="shared" si="1"/>
        <v>0</v>
      </c>
      <c r="R6" s="526">
        <f t="shared" si="1"/>
        <v>5270176</v>
      </c>
      <c r="S6" s="527"/>
      <c r="T6" s="527"/>
      <c r="U6" s="527"/>
      <c r="V6" s="528"/>
      <c r="W6" s="188"/>
      <c r="Y6" s="196"/>
      <c r="Z6" s="186">
        <f t="shared" ref="Z6:Z7" si="2">IF($Y6&lt;&gt;"도비",IF($W6="국도비","직접입력",SUM($M6:$N6)),)</f>
        <v>2355001</v>
      </c>
      <c r="AA6" s="186">
        <f t="shared" ref="AA6:AA7" si="3">IF($Y6="도비",SUM($M6:$N6),IF($W6="국도비","직접입력",SUM($M6:$N6)-$Z6))</f>
        <v>0</v>
      </c>
      <c r="AB6" s="188" t="str">
        <f t="shared" ref="AB6:AB7" si="4">IF(SUM($M6:$N6)=SUM($Z6:$AA6),"OK","검토")</f>
        <v>OK</v>
      </c>
      <c r="AD6" s="188"/>
      <c r="AE6" s="186">
        <f t="shared" ref="AE6:AE7" si="5">IF($Y6&lt;&gt;"도비",IF($W6="국도비","직접입력",SUM($P6:$Q6)),)</f>
        <v>0</v>
      </c>
      <c r="AF6" s="186">
        <f t="shared" ref="AF6:AF7" si="6">IF($Y6="도비",SUM(P6:Q6),IF($W6="국도비","직접입력",SUM(P6:Q6)-AE6))</f>
        <v>0</v>
      </c>
      <c r="AG6" s="188" t="str">
        <f t="shared" ref="AG6:AG7" si="7">IF(SUM(P6:Q6)=SUM(AE6:AF6),"OK","검토")</f>
        <v>OK</v>
      </c>
      <c r="AI6" s="197" t="str">
        <f t="shared" ref="AI6:AI7" si="8">IF(Y6="","",IF(Y6="도비","세입없음","직접입력"))</f>
        <v/>
      </c>
      <c r="AK6" s="231" t="str">
        <f>IF(AI6="","",COUNTIF($AI$6:$AI$18,AI6))</f>
        <v/>
      </c>
      <c r="AL6" s="187" t="str">
        <f t="shared" ref="AL6:AL7" si="9">IF(Y6="","",IF(AND(Y6="도비",AI6="세입없음"),"OK",IF(AND(Y6&lt;&gt;"도비",AI6&lt;&gt;""),"OK","@@")))</f>
        <v/>
      </c>
      <c r="AN6" s="188" t="str">
        <f t="array" ref="AN6">IF(D6="","",INDEX([1]구분표!$I$2:$I$311, MATCH(1,([1]구분표!$E$2:$E$311='071추일출'!C6)*([1]구분표!$F$2:$F$311='071추일출'!D6)*([1]구분표!$G$2:$G$311='071추일출'!B6),0)))</f>
        <v/>
      </c>
      <c r="AP6" s="188"/>
    </row>
    <row r="7" spans="1:42" ht="60" customHeight="1">
      <c r="A7" s="529">
        <v>1</v>
      </c>
      <c r="B7" s="233" t="s">
        <v>956</v>
      </c>
      <c r="C7" s="234" t="s">
        <v>957</v>
      </c>
      <c r="D7" s="232" t="s">
        <v>958</v>
      </c>
      <c r="E7" s="489" t="s">
        <v>883</v>
      </c>
      <c r="F7" s="530" t="s">
        <v>959</v>
      </c>
      <c r="G7" s="490">
        <v>441</v>
      </c>
      <c r="H7" s="489">
        <v>55</v>
      </c>
      <c r="I7" s="531" t="s">
        <v>960</v>
      </c>
      <c r="J7" s="492">
        <v>29957000</v>
      </c>
      <c r="K7" s="492">
        <v>28507000</v>
      </c>
      <c r="L7" s="229">
        <f t="shared" ref="L7:L18" si="10">J7-K7</f>
        <v>1450000</v>
      </c>
      <c r="M7" s="186">
        <v>-280000</v>
      </c>
      <c r="N7" s="492">
        <v>200000</v>
      </c>
      <c r="O7" s="493">
        <f t="shared" ref="O7:O18" si="11">L7+M7+N7</f>
        <v>1370000</v>
      </c>
      <c r="P7" s="532"/>
      <c r="Q7" s="495"/>
      <c r="R7" s="496">
        <f t="shared" ref="R7:R18" si="12">L7+P7+Q7</f>
        <v>1450000</v>
      </c>
      <c r="S7" s="187" t="str">
        <f t="shared" ref="S7:S18" si="13">IF(AND((O7=0),(R7&gt;0)),"O",IF(AND((M7&lt;0),(O7-R7&lt;0)),"O","X"))</f>
        <v>O</v>
      </c>
      <c r="T7" s="187"/>
      <c r="U7" s="322" t="s">
        <v>961</v>
      </c>
      <c r="V7" s="533"/>
      <c r="W7" s="188"/>
      <c r="Y7" s="196"/>
      <c r="Z7" s="186">
        <f t="shared" si="2"/>
        <v>-80000</v>
      </c>
      <c r="AA7" s="186">
        <f t="shared" si="3"/>
        <v>0</v>
      </c>
      <c r="AB7" s="188" t="str">
        <f t="shared" si="4"/>
        <v>OK</v>
      </c>
      <c r="AD7" s="188"/>
      <c r="AE7" s="186">
        <f t="shared" si="5"/>
        <v>0</v>
      </c>
      <c r="AF7" s="186">
        <f t="shared" si="6"/>
        <v>0</v>
      </c>
      <c r="AG7" s="188" t="str">
        <f t="shared" si="7"/>
        <v>OK</v>
      </c>
      <c r="AI7" s="197" t="str">
        <f t="shared" si="8"/>
        <v/>
      </c>
      <c r="AK7" s="231" t="str">
        <f>IF(AI7="","",COUNTIF($AI$6:$AI$18,AI7))</f>
        <v/>
      </c>
      <c r="AL7" s="187" t="str">
        <f t="shared" si="9"/>
        <v/>
      </c>
      <c r="AN7" s="188" t="e">
        <f t="array" ref="AN7">IF(D7="","",INDEX([1]구분표!$I$2:$I$311, MATCH(1,([1]구분표!$E$2:$E$311='071추일출'!C7)*([1]구분표!$F$2:$F$311='071추일출'!D7)*([1]구분표!$G$2:$G$311='071추일출'!B7),0)))</f>
        <v>#N/A</v>
      </c>
      <c r="AP7" s="188"/>
    </row>
    <row r="8" spans="1:42" ht="77.25" customHeight="1">
      <c r="A8" s="529">
        <v>2</v>
      </c>
      <c r="B8" s="233" t="s">
        <v>956</v>
      </c>
      <c r="C8" s="234" t="s">
        <v>957</v>
      </c>
      <c r="D8" s="232" t="s">
        <v>958</v>
      </c>
      <c r="E8" s="489" t="s">
        <v>883</v>
      </c>
      <c r="F8" s="530" t="s">
        <v>959</v>
      </c>
      <c r="G8" s="490">
        <v>442</v>
      </c>
      <c r="H8" s="489">
        <v>73</v>
      </c>
      <c r="I8" s="531" t="s">
        <v>962</v>
      </c>
      <c r="J8" s="534">
        <v>39177000</v>
      </c>
      <c r="K8" s="534">
        <v>38527000</v>
      </c>
      <c r="L8" s="229">
        <f t="shared" si="10"/>
        <v>650000</v>
      </c>
      <c r="M8" s="186"/>
      <c r="N8" s="492">
        <v>960000</v>
      </c>
      <c r="O8" s="493">
        <f t="shared" si="11"/>
        <v>1610000</v>
      </c>
      <c r="P8" s="532"/>
      <c r="Q8" s="495"/>
      <c r="R8" s="496">
        <f t="shared" si="12"/>
        <v>650000</v>
      </c>
      <c r="S8" s="187" t="str">
        <f t="shared" si="13"/>
        <v>X</v>
      </c>
      <c r="T8" s="187"/>
      <c r="U8" s="535" t="s">
        <v>963</v>
      </c>
      <c r="V8" s="533"/>
      <c r="W8" s="188"/>
      <c r="Y8" s="196"/>
      <c r="Z8" s="186"/>
      <c r="AA8" s="186"/>
      <c r="AB8" s="188"/>
      <c r="AD8" s="188"/>
      <c r="AE8" s="186"/>
      <c r="AF8" s="186"/>
      <c r="AG8" s="188"/>
      <c r="AI8" s="197"/>
      <c r="AK8" s="231"/>
      <c r="AL8" s="187"/>
      <c r="AN8" s="188"/>
      <c r="AP8" s="188"/>
    </row>
    <row r="9" spans="1:42" ht="60" customHeight="1">
      <c r="A9" s="529">
        <v>3</v>
      </c>
      <c r="B9" s="233" t="s">
        <v>956</v>
      </c>
      <c r="C9" s="234" t="s">
        <v>957</v>
      </c>
      <c r="D9" s="232" t="s">
        <v>964</v>
      </c>
      <c r="E9" s="489" t="s">
        <v>883</v>
      </c>
      <c r="F9" s="530" t="s">
        <v>959</v>
      </c>
      <c r="G9" s="490">
        <v>450</v>
      </c>
      <c r="H9" s="489">
        <v>203</v>
      </c>
      <c r="I9" s="531" t="s">
        <v>965</v>
      </c>
      <c r="J9" s="534">
        <v>12347000</v>
      </c>
      <c r="K9" s="534">
        <v>10293000</v>
      </c>
      <c r="L9" s="229">
        <f t="shared" si="10"/>
        <v>2054000</v>
      </c>
      <c r="M9" s="186"/>
      <c r="N9" s="492">
        <v>100000</v>
      </c>
      <c r="O9" s="493">
        <f t="shared" si="11"/>
        <v>2154000</v>
      </c>
      <c r="P9" s="532"/>
      <c r="Q9" s="495"/>
      <c r="R9" s="496">
        <f t="shared" si="12"/>
        <v>2054000</v>
      </c>
      <c r="S9" s="187" t="str">
        <f t="shared" si="13"/>
        <v>X</v>
      </c>
      <c r="T9" s="187"/>
      <c r="U9" s="536" t="s">
        <v>966</v>
      </c>
      <c r="V9" s="533"/>
      <c r="W9" s="188"/>
      <c r="Y9" s="196"/>
      <c r="Z9" s="186"/>
      <c r="AA9" s="186"/>
      <c r="AB9" s="188"/>
      <c r="AD9" s="188"/>
      <c r="AE9" s="186"/>
      <c r="AF9" s="186"/>
      <c r="AG9" s="188"/>
      <c r="AI9" s="197"/>
      <c r="AK9" s="231"/>
      <c r="AL9" s="187"/>
      <c r="AN9" s="188"/>
      <c r="AP9" s="188"/>
    </row>
    <row r="10" spans="1:42" ht="74.25" customHeight="1">
      <c r="A10" s="529">
        <v>4</v>
      </c>
      <c r="B10" s="233" t="s">
        <v>956</v>
      </c>
      <c r="C10" s="234" t="s">
        <v>957</v>
      </c>
      <c r="D10" s="232" t="s">
        <v>967</v>
      </c>
      <c r="E10" s="489" t="s">
        <v>883</v>
      </c>
      <c r="F10" s="530" t="s">
        <v>959</v>
      </c>
      <c r="G10" s="490">
        <v>453</v>
      </c>
      <c r="H10" s="489">
        <v>240</v>
      </c>
      <c r="I10" s="531" t="s">
        <v>968</v>
      </c>
      <c r="J10" s="534">
        <v>13438000</v>
      </c>
      <c r="K10" s="534">
        <v>12378000</v>
      </c>
      <c r="L10" s="229">
        <f t="shared" si="10"/>
        <v>1060000</v>
      </c>
      <c r="M10" s="186">
        <v>-50000</v>
      </c>
      <c r="N10" s="492">
        <v>300000</v>
      </c>
      <c r="O10" s="493">
        <f t="shared" si="11"/>
        <v>1310000</v>
      </c>
      <c r="P10" s="532"/>
      <c r="Q10" s="495"/>
      <c r="R10" s="496">
        <f t="shared" si="12"/>
        <v>1060000</v>
      </c>
      <c r="S10" s="187" t="str">
        <f t="shared" si="13"/>
        <v>X</v>
      </c>
      <c r="T10" s="187"/>
      <c r="U10" s="535" t="s">
        <v>969</v>
      </c>
      <c r="V10" s="533"/>
      <c r="W10" s="188"/>
      <c r="Y10" s="196"/>
      <c r="Z10" s="186"/>
      <c r="AA10" s="186"/>
      <c r="AB10" s="188"/>
      <c r="AD10" s="188"/>
      <c r="AE10" s="186"/>
      <c r="AF10" s="186"/>
      <c r="AG10" s="188"/>
      <c r="AI10" s="197"/>
      <c r="AK10" s="231"/>
      <c r="AL10" s="187"/>
      <c r="AN10" s="188"/>
      <c r="AP10" s="188"/>
    </row>
    <row r="11" spans="1:42" ht="60" customHeight="1">
      <c r="A11" s="529">
        <v>5</v>
      </c>
      <c r="B11" s="233" t="s">
        <v>970</v>
      </c>
      <c r="C11" s="234" t="s">
        <v>971</v>
      </c>
      <c r="D11" s="232" t="s">
        <v>972</v>
      </c>
      <c r="E11" s="489" t="s">
        <v>883</v>
      </c>
      <c r="F11" s="530" t="s">
        <v>959</v>
      </c>
      <c r="G11" s="490">
        <v>453</v>
      </c>
      <c r="H11" s="489">
        <v>249</v>
      </c>
      <c r="I11" s="531" t="s">
        <v>973</v>
      </c>
      <c r="J11" s="492">
        <v>106176</v>
      </c>
      <c r="K11" s="492">
        <v>50000</v>
      </c>
      <c r="L11" s="229">
        <f t="shared" si="10"/>
        <v>56176</v>
      </c>
      <c r="M11" s="186"/>
      <c r="N11" s="492">
        <v>1</v>
      </c>
      <c r="O11" s="493">
        <f t="shared" si="11"/>
        <v>56177</v>
      </c>
      <c r="P11" s="532"/>
      <c r="Q11" s="495"/>
      <c r="R11" s="496">
        <f t="shared" si="12"/>
        <v>56176</v>
      </c>
      <c r="S11" s="187" t="str">
        <f t="shared" si="13"/>
        <v>X</v>
      </c>
      <c r="T11" s="187"/>
      <c r="U11" s="536" t="s">
        <v>974</v>
      </c>
      <c r="V11" s="533"/>
      <c r="W11" s="188"/>
      <c r="Y11" s="196"/>
      <c r="Z11" s="186"/>
      <c r="AA11" s="186"/>
      <c r="AB11" s="188"/>
      <c r="AD11" s="188"/>
      <c r="AE11" s="186"/>
      <c r="AF11" s="186"/>
      <c r="AG11" s="188"/>
      <c r="AI11" s="197"/>
      <c r="AK11" s="231"/>
      <c r="AL11" s="187"/>
      <c r="AN11" s="188"/>
      <c r="AP11" s="188"/>
    </row>
    <row r="12" spans="1:42" ht="60" customHeight="1">
      <c r="A12" s="529">
        <v>6</v>
      </c>
      <c r="B12" s="233" t="s">
        <v>970</v>
      </c>
      <c r="C12" s="234" t="s">
        <v>971</v>
      </c>
      <c r="D12" s="499" t="s">
        <v>975</v>
      </c>
      <c r="E12" s="489" t="s">
        <v>976</v>
      </c>
      <c r="F12" s="530" t="s">
        <v>959</v>
      </c>
      <c r="G12" s="490"/>
      <c r="H12" s="489"/>
      <c r="I12" s="531" t="s">
        <v>977</v>
      </c>
      <c r="J12" s="492"/>
      <c r="K12" s="492"/>
      <c r="L12" s="229">
        <f t="shared" si="10"/>
        <v>0</v>
      </c>
      <c r="M12" s="186"/>
      <c r="N12" s="492">
        <v>50000</v>
      </c>
      <c r="O12" s="493">
        <f t="shared" si="11"/>
        <v>50000</v>
      </c>
      <c r="P12" s="532"/>
      <c r="Q12" s="495"/>
      <c r="R12" s="496">
        <f t="shared" si="12"/>
        <v>0</v>
      </c>
      <c r="S12" s="187" t="str">
        <f t="shared" si="13"/>
        <v>X</v>
      </c>
      <c r="T12" s="187"/>
      <c r="U12" s="536"/>
      <c r="V12" s="533"/>
      <c r="W12" s="188"/>
      <c r="Y12" s="196"/>
      <c r="Z12" s="186"/>
      <c r="AA12" s="186"/>
      <c r="AB12" s="188"/>
      <c r="AD12" s="188"/>
      <c r="AE12" s="186"/>
      <c r="AF12" s="186"/>
      <c r="AG12" s="188"/>
      <c r="AI12" s="197"/>
      <c r="AK12" s="231"/>
      <c r="AL12" s="187"/>
      <c r="AN12" s="188"/>
      <c r="AP12" s="188"/>
    </row>
    <row r="13" spans="1:42" ht="60" customHeight="1">
      <c r="A13" s="529">
        <v>7</v>
      </c>
      <c r="B13" s="233" t="s">
        <v>978</v>
      </c>
      <c r="C13" s="234" t="s">
        <v>979</v>
      </c>
      <c r="D13" s="499" t="s">
        <v>980</v>
      </c>
      <c r="E13" s="489" t="s">
        <v>976</v>
      </c>
      <c r="F13" s="530" t="s">
        <v>959</v>
      </c>
      <c r="G13" s="490"/>
      <c r="H13" s="489"/>
      <c r="I13" s="531" t="s">
        <v>981</v>
      </c>
      <c r="J13" s="492"/>
      <c r="K13" s="492"/>
      <c r="L13" s="229">
        <f t="shared" si="10"/>
        <v>0</v>
      </c>
      <c r="M13" s="186"/>
      <c r="N13" s="492">
        <v>100000</v>
      </c>
      <c r="O13" s="493">
        <f t="shared" si="11"/>
        <v>100000</v>
      </c>
      <c r="P13" s="532"/>
      <c r="Q13" s="495"/>
      <c r="R13" s="496">
        <f t="shared" si="12"/>
        <v>0</v>
      </c>
      <c r="S13" s="187" t="str">
        <f t="shared" si="13"/>
        <v>X</v>
      </c>
      <c r="T13" s="187"/>
      <c r="U13" s="536"/>
      <c r="V13" s="533"/>
      <c r="W13" s="188"/>
      <c r="Y13" s="196"/>
      <c r="Z13" s="186"/>
      <c r="AA13" s="186"/>
      <c r="AB13" s="188"/>
      <c r="AD13" s="188"/>
      <c r="AE13" s="186"/>
      <c r="AF13" s="186"/>
      <c r="AG13" s="188"/>
      <c r="AI13" s="197"/>
      <c r="AK13" s="231"/>
      <c r="AL13" s="187"/>
      <c r="AN13" s="188"/>
      <c r="AP13" s="188"/>
    </row>
    <row r="14" spans="1:42" ht="60" customHeight="1">
      <c r="A14" s="529">
        <v>8</v>
      </c>
      <c r="B14" s="233" t="s">
        <v>982</v>
      </c>
      <c r="C14" s="234" t="s">
        <v>983</v>
      </c>
      <c r="D14" s="499" t="s">
        <v>984</v>
      </c>
      <c r="E14" s="489" t="s">
        <v>985</v>
      </c>
      <c r="F14" s="530" t="s">
        <v>959</v>
      </c>
      <c r="G14" s="490"/>
      <c r="H14" s="489"/>
      <c r="I14" s="531" t="s">
        <v>986</v>
      </c>
      <c r="J14" s="492"/>
      <c r="K14" s="492"/>
      <c r="L14" s="229">
        <f t="shared" si="10"/>
        <v>0</v>
      </c>
      <c r="M14" s="186"/>
      <c r="N14" s="492">
        <v>500000</v>
      </c>
      <c r="O14" s="493">
        <f t="shared" si="11"/>
        <v>500000</v>
      </c>
      <c r="P14" s="532"/>
      <c r="Q14" s="495"/>
      <c r="R14" s="496">
        <f t="shared" si="12"/>
        <v>0</v>
      </c>
      <c r="S14" s="187" t="str">
        <f t="shared" si="13"/>
        <v>X</v>
      </c>
      <c r="T14" s="187"/>
      <c r="U14" s="536"/>
      <c r="V14" s="533"/>
      <c r="W14" s="188"/>
      <c r="Y14" s="196"/>
      <c r="Z14" s="186"/>
      <c r="AA14" s="186"/>
      <c r="AB14" s="188"/>
      <c r="AD14" s="188"/>
      <c r="AE14" s="186"/>
      <c r="AF14" s="186"/>
      <c r="AG14" s="188"/>
      <c r="AI14" s="197"/>
      <c r="AK14" s="231"/>
      <c r="AL14" s="187"/>
      <c r="AN14" s="188"/>
      <c r="AP14" s="188"/>
    </row>
    <row r="15" spans="1:42" ht="60" customHeight="1">
      <c r="A15" s="529">
        <v>9</v>
      </c>
      <c r="B15" s="233" t="s">
        <v>982</v>
      </c>
      <c r="C15" s="234" t="s">
        <v>983</v>
      </c>
      <c r="D15" s="499" t="s">
        <v>987</v>
      </c>
      <c r="E15" s="489" t="s">
        <v>976</v>
      </c>
      <c r="F15" s="530" t="s">
        <v>959</v>
      </c>
      <c r="G15" s="490"/>
      <c r="H15" s="489"/>
      <c r="I15" s="531" t="s">
        <v>988</v>
      </c>
      <c r="J15" s="492"/>
      <c r="K15" s="492"/>
      <c r="L15" s="229">
        <f t="shared" si="10"/>
        <v>0</v>
      </c>
      <c r="M15" s="186"/>
      <c r="N15" s="492">
        <v>25000</v>
      </c>
      <c r="O15" s="493">
        <f t="shared" si="11"/>
        <v>25000</v>
      </c>
      <c r="P15" s="532"/>
      <c r="Q15" s="495"/>
      <c r="R15" s="496">
        <f t="shared" si="12"/>
        <v>0</v>
      </c>
      <c r="S15" s="187" t="str">
        <f t="shared" si="13"/>
        <v>X</v>
      </c>
      <c r="T15" s="187"/>
      <c r="U15" s="536"/>
      <c r="V15" s="533"/>
      <c r="W15" s="188"/>
      <c r="Y15" s="196"/>
      <c r="Z15" s="186"/>
      <c r="AA15" s="186"/>
      <c r="AB15" s="188"/>
      <c r="AD15" s="188"/>
      <c r="AE15" s="186"/>
      <c r="AF15" s="186"/>
      <c r="AG15" s="188"/>
      <c r="AI15" s="197"/>
      <c r="AK15" s="231"/>
      <c r="AL15" s="187"/>
      <c r="AN15" s="188"/>
      <c r="AP15" s="188"/>
    </row>
    <row r="16" spans="1:42" ht="60" customHeight="1">
      <c r="A16" s="529">
        <v>10</v>
      </c>
      <c r="B16" s="233" t="s">
        <v>982</v>
      </c>
      <c r="C16" s="234" t="s">
        <v>983</v>
      </c>
      <c r="D16" s="499" t="s">
        <v>989</v>
      </c>
      <c r="E16" s="489" t="s">
        <v>976</v>
      </c>
      <c r="F16" s="530" t="s">
        <v>959</v>
      </c>
      <c r="G16" s="490"/>
      <c r="H16" s="489"/>
      <c r="I16" s="531" t="s">
        <v>990</v>
      </c>
      <c r="J16" s="492"/>
      <c r="K16" s="492"/>
      <c r="L16" s="229">
        <f t="shared" si="10"/>
        <v>0</v>
      </c>
      <c r="M16" s="186"/>
      <c r="N16" s="492">
        <v>100000</v>
      </c>
      <c r="O16" s="493">
        <f t="shared" si="11"/>
        <v>100000</v>
      </c>
      <c r="P16" s="532"/>
      <c r="Q16" s="495"/>
      <c r="R16" s="496">
        <f t="shared" si="12"/>
        <v>0</v>
      </c>
      <c r="S16" s="187" t="str">
        <f t="shared" si="13"/>
        <v>X</v>
      </c>
      <c r="T16" s="187"/>
      <c r="U16" s="536"/>
      <c r="V16" s="533"/>
      <c r="W16" s="188"/>
      <c r="Y16" s="196"/>
      <c r="Z16" s="186"/>
      <c r="AA16" s="186"/>
      <c r="AB16" s="188"/>
      <c r="AD16" s="188"/>
      <c r="AE16" s="186"/>
      <c r="AF16" s="186"/>
      <c r="AG16" s="188"/>
      <c r="AI16" s="197"/>
      <c r="AK16" s="231"/>
      <c r="AL16" s="187"/>
      <c r="AN16" s="188"/>
      <c r="AP16" s="188"/>
    </row>
    <row r="17" spans="1:42" ht="60" customHeight="1">
      <c r="A17" s="529">
        <v>11</v>
      </c>
      <c r="B17" s="233" t="s">
        <v>982</v>
      </c>
      <c r="C17" s="234" t="s">
        <v>983</v>
      </c>
      <c r="D17" s="499" t="s">
        <v>987</v>
      </c>
      <c r="E17" s="489" t="s">
        <v>985</v>
      </c>
      <c r="F17" s="530" t="s">
        <v>959</v>
      </c>
      <c r="G17" s="490"/>
      <c r="H17" s="489"/>
      <c r="I17" s="531" t="s">
        <v>991</v>
      </c>
      <c r="J17" s="492"/>
      <c r="K17" s="492"/>
      <c r="L17" s="229">
        <f t="shared" si="10"/>
        <v>0</v>
      </c>
      <c r="M17" s="186"/>
      <c r="N17" s="492">
        <v>300000</v>
      </c>
      <c r="O17" s="493">
        <f t="shared" si="11"/>
        <v>300000</v>
      </c>
      <c r="P17" s="532"/>
      <c r="Q17" s="495"/>
      <c r="R17" s="496">
        <f t="shared" si="12"/>
        <v>0</v>
      </c>
      <c r="S17" s="187" t="str">
        <f t="shared" si="13"/>
        <v>X</v>
      </c>
      <c r="T17" s="187"/>
      <c r="U17" s="536"/>
      <c r="V17" s="533"/>
      <c r="W17" s="188"/>
      <c r="Y17" s="196"/>
      <c r="Z17" s="186"/>
      <c r="AA17" s="186"/>
      <c r="AB17" s="188"/>
      <c r="AD17" s="188"/>
      <c r="AE17" s="186"/>
      <c r="AF17" s="186"/>
      <c r="AG17" s="188"/>
      <c r="AI17" s="197"/>
      <c r="AK17" s="231"/>
      <c r="AL17" s="187"/>
      <c r="AN17" s="188"/>
      <c r="AP17" s="188"/>
    </row>
    <row r="18" spans="1:42" ht="60" customHeight="1">
      <c r="A18" s="529">
        <v>12</v>
      </c>
      <c r="B18" s="233" t="s">
        <v>982</v>
      </c>
      <c r="C18" s="234" t="s">
        <v>983</v>
      </c>
      <c r="D18" s="499" t="s">
        <v>987</v>
      </c>
      <c r="E18" s="489" t="s">
        <v>985</v>
      </c>
      <c r="F18" s="530" t="s">
        <v>959</v>
      </c>
      <c r="G18" s="490"/>
      <c r="H18" s="489"/>
      <c r="I18" s="531" t="s">
        <v>992</v>
      </c>
      <c r="J18" s="492"/>
      <c r="K18" s="492"/>
      <c r="L18" s="229">
        <f t="shared" si="10"/>
        <v>0</v>
      </c>
      <c r="M18" s="186"/>
      <c r="N18" s="492">
        <v>50000</v>
      </c>
      <c r="O18" s="493">
        <f t="shared" si="11"/>
        <v>50000</v>
      </c>
      <c r="P18" s="532"/>
      <c r="Q18" s="495"/>
      <c r="R18" s="496">
        <f t="shared" si="12"/>
        <v>0</v>
      </c>
      <c r="S18" s="187" t="str">
        <f t="shared" si="13"/>
        <v>X</v>
      </c>
      <c r="T18" s="187"/>
      <c r="U18" s="536"/>
      <c r="V18" s="533"/>
      <c r="W18" s="188"/>
      <c r="Y18" s="196"/>
      <c r="Z18" s="186"/>
      <c r="AA18" s="186"/>
      <c r="AB18" s="188"/>
      <c r="AD18" s="188"/>
      <c r="AE18" s="186"/>
      <c r="AF18" s="186"/>
      <c r="AG18" s="188"/>
      <c r="AI18" s="197"/>
      <c r="AK18" s="231"/>
      <c r="AL18" s="187"/>
      <c r="AN18" s="188"/>
      <c r="AP18" s="188"/>
    </row>
  </sheetData>
  <sheetProtection formatCells="0" autoFilter="0"/>
  <mergeCells count="30">
    <mergeCell ref="AP4:AP5"/>
    <mergeCell ref="U4:U5"/>
    <mergeCell ref="V4:V5"/>
    <mergeCell ref="W4:W5"/>
    <mergeCell ref="Y4:Y5"/>
    <mergeCell ref="Z4:AB4"/>
    <mergeCell ref="AD4:AD5"/>
    <mergeCell ref="AE4:AG4"/>
    <mergeCell ref="AI4:AI5"/>
    <mergeCell ref="AK4:AK5"/>
    <mergeCell ref="AL4:AL5"/>
    <mergeCell ref="AN4:AN5"/>
    <mergeCell ref="T4:T5"/>
    <mergeCell ref="G4:G5"/>
    <mergeCell ref="H4:H5"/>
    <mergeCell ref="I4:I5"/>
    <mergeCell ref="J4:J5"/>
    <mergeCell ref="K4:K5"/>
    <mergeCell ref="L4:L5"/>
    <mergeCell ref="M4:N4"/>
    <mergeCell ref="O4:O5"/>
    <mergeCell ref="P4:Q4"/>
    <mergeCell ref="R4:R5"/>
    <mergeCell ref="S4:S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E6:E18">
      <formula1>"본예산,1회추경,신규"</formula1>
    </dataValidation>
    <dataValidation type="list" allowBlank="1" showInputMessage="1" showErrorMessage="1" sqref="F6:F18">
      <formula1>"일반,연정"</formula1>
    </dataValidation>
    <dataValidation type="list" allowBlank="1" showInputMessage="1" showErrorMessage="1" sqref="W6:W18">
      <formula1>"도비,국도비"</formula1>
    </dataValidation>
    <dataValidation type="list" allowBlank="1" showInputMessage="1" showErrorMessage="1" sqref="Y6:Y18 AD6:AD18">
      <formula1>"도비,국비,지특,기금,특교"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38" fitToHeight="0" orientation="landscape" r:id="rId1"/>
  <headerFooter>
    <oddFooter>페이지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431</v>
      </c>
      <c r="B2" s="190"/>
      <c r="C2" s="262"/>
      <c r="D2" s="262"/>
      <c r="E2" s="262"/>
      <c r="F2" s="262"/>
      <c r="G2" s="262"/>
      <c r="H2" s="262"/>
      <c r="I2" s="262"/>
      <c r="J2" s="262"/>
      <c r="K2" s="267"/>
      <c r="L2" s="26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2"/>
      <c r="D3" s="177"/>
      <c r="E3" s="177"/>
      <c r="F3" s="177"/>
      <c r="G3" s="177"/>
      <c r="H3" s="177"/>
      <c r="I3" s="177"/>
      <c r="J3" s="177"/>
      <c r="K3" s="177"/>
      <c r="L3" s="177"/>
      <c r="M3" s="268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717" t="s">
        <v>406</v>
      </c>
      <c r="B4" s="719" t="s">
        <v>608</v>
      </c>
      <c r="C4" s="721" t="s">
        <v>596</v>
      </c>
      <c r="D4" s="723" t="s">
        <v>609</v>
      </c>
      <c r="E4" s="725" t="s">
        <v>597</v>
      </c>
      <c r="F4" s="726"/>
      <c r="G4" s="729" t="s">
        <v>618</v>
      </c>
      <c r="H4" s="727" t="s">
        <v>621</v>
      </c>
      <c r="I4" s="712" t="s">
        <v>619</v>
      </c>
      <c r="J4" s="716" t="s">
        <v>613</v>
      </c>
      <c r="K4" s="716"/>
      <c r="L4" s="716"/>
      <c r="M4" s="714" t="s">
        <v>620</v>
      </c>
      <c r="N4" s="714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718"/>
      <c r="B5" s="720"/>
      <c r="C5" s="722"/>
      <c r="D5" s="724"/>
      <c r="E5" s="279" t="s">
        <v>410</v>
      </c>
      <c r="F5" s="279" t="s">
        <v>411</v>
      </c>
      <c r="G5" s="730"/>
      <c r="H5" s="728"/>
      <c r="I5" s="713"/>
      <c r="J5" s="280" t="s">
        <v>410</v>
      </c>
      <c r="K5" s="280" t="s">
        <v>411</v>
      </c>
      <c r="L5" s="281" t="s">
        <v>615</v>
      </c>
      <c r="M5" s="715"/>
      <c r="N5" s="71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7" t="s">
        <v>430</v>
      </c>
      <c r="B6" s="278">
        <f>SUM(B7:B16)</f>
        <v>39727000</v>
      </c>
      <c r="C6" s="278">
        <f t="shared" ref="C6:M6" si="0">SUM(C7:C16)</f>
        <v>39077000</v>
      </c>
      <c r="D6" s="278">
        <f t="shared" si="0"/>
        <v>650000</v>
      </c>
      <c r="E6" s="278">
        <f t="shared" si="0"/>
        <v>-100000</v>
      </c>
      <c r="F6" s="278">
        <f t="shared" si="0"/>
        <v>296783</v>
      </c>
      <c r="G6" s="276">
        <f>F6+E6</f>
        <v>196783</v>
      </c>
      <c r="H6" s="276">
        <f t="shared" si="0"/>
        <v>39923783</v>
      </c>
      <c r="I6" s="278">
        <f t="shared" si="0"/>
        <v>-196783</v>
      </c>
      <c r="J6" s="278">
        <f t="shared" si="0"/>
        <v>-270000</v>
      </c>
      <c r="K6" s="278">
        <f t="shared" si="0"/>
        <v>100000</v>
      </c>
      <c r="L6" s="278">
        <f t="shared" si="0"/>
        <v>-170000</v>
      </c>
      <c r="M6" s="275">
        <f t="shared" si="0"/>
        <v>39727000</v>
      </c>
      <c r="N6" s="275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6" t="s">
        <v>6</v>
      </c>
      <c r="B7" s="254">
        <f>'1추일출'!I7</f>
        <v>0</v>
      </c>
      <c r="C7" s="254">
        <f>'1추일출'!J7</f>
        <v>0</v>
      </c>
      <c r="D7" s="254">
        <f>'1추일출'!K7</f>
        <v>0</v>
      </c>
      <c r="E7" s="254">
        <f>'1추일출'!L7</f>
        <v>0</v>
      </c>
      <c r="F7" s="254">
        <f>'1추일출'!M7</f>
        <v>0</v>
      </c>
      <c r="G7" s="282">
        <f t="shared" ref="G7:G16" si="2">F7+E7</f>
        <v>0</v>
      </c>
      <c r="H7" s="269">
        <f>'1추일출'!N7</f>
        <v>0</v>
      </c>
      <c r="I7" s="254">
        <f>'1추일출'!O7</f>
        <v>0</v>
      </c>
      <c r="J7" s="254">
        <f>'1추일출'!AR7</f>
        <v>0</v>
      </c>
      <c r="K7" s="254">
        <f>'1추일출'!AS7</f>
        <v>0</v>
      </c>
      <c r="L7" s="270">
        <f>J7+K7</f>
        <v>0</v>
      </c>
      <c r="M7" s="270">
        <f>'1추일출'!R7</f>
        <v>0</v>
      </c>
      <c r="N7" s="283">
        <f t="shared" si="1"/>
        <v>0</v>
      </c>
    </row>
    <row r="8" spans="1:16352" s="30" customFormat="1" ht="30" customHeight="1">
      <c r="A8" s="266" t="s">
        <v>29</v>
      </c>
      <c r="B8" s="254">
        <f>'1추일출'!I18</f>
        <v>0</v>
      </c>
      <c r="C8" s="254">
        <f>'1추일출'!J18</f>
        <v>0</v>
      </c>
      <c r="D8" s="254">
        <f>'1추일출'!K18</f>
        <v>0</v>
      </c>
      <c r="E8" s="254">
        <f>'1추일출'!L18</f>
        <v>0</v>
      </c>
      <c r="F8" s="254">
        <f>'1추일출'!M18</f>
        <v>0</v>
      </c>
      <c r="G8" s="282">
        <f t="shared" si="2"/>
        <v>0</v>
      </c>
      <c r="H8" s="269">
        <f>'1추일출'!N18</f>
        <v>0</v>
      </c>
      <c r="I8" s="254">
        <f>'1추일출'!O18</f>
        <v>0</v>
      </c>
      <c r="J8" s="254">
        <f>'1추일출'!AR18</f>
        <v>0</v>
      </c>
      <c r="K8" s="254">
        <f>'1추일출'!AS18</f>
        <v>0</v>
      </c>
      <c r="L8" s="270">
        <f t="shared" ref="L8:L16" si="3">J8+K8</f>
        <v>0</v>
      </c>
      <c r="M8" s="270">
        <f>'1추일출'!R18</f>
        <v>0</v>
      </c>
      <c r="N8" s="283">
        <f t="shared" si="1"/>
        <v>0</v>
      </c>
    </row>
    <row r="9" spans="1:16352" s="30" customFormat="1" ht="30" customHeight="1">
      <c r="A9" s="266" t="s">
        <v>71</v>
      </c>
      <c r="B9" s="254">
        <f>'1추일출'!I29</f>
        <v>0</v>
      </c>
      <c r="C9" s="254">
        <f>'1추일출'!J29</f>
        <v>0</v>
      </c>
      <c r="D9" s="254">
        <f>'1추일출'!K29</f>
        <v>0</v>
      </c>
      <c r="E9" s="254">
        <f>'1추일출'!L29</f>
        <v>0</v>
      </c>
      <c r="F9" s="254">
        <f>'1추일출'!M29</f>
        <v>0</v>
      </c>
      <c r="G9" s="282">
        <f t="shared" si="2"/>
        <v>0</v>
      </c>
      <c r="H9" s="269">
        <f>'1추일출'!N29</f>
        <v>0</v>
      </c>
      <c r="I9" s="254">
        <f>'1추일출'!O29</f>
        <v>0</v>
      </c>
      <c r="J9" s="254">
        <f>'1추일출'!AR29</f>
        <v>0</v>
      </c>
      <c r="K9" s="254">
        <f>'1추일출'!AS29</f>
        <v>0</v>
      </c>
      <c r="L9" s="270">
        <f t="shared" si="3"/>
        <v>0</v>
      </c>
      <c r="M9" s="270">
        <f>'1추일출'!R29</f>
        <v>0</v>
      </c>
      <c r="N9" s="283">
        <f t="shared" si="1"/>
        <v>0</v>
      </c>
    </row>
    <row r="10" spans="1:16352" s="30" customFormat="1" ht="30" customHeight="1">
      <c r="A10" s="266" t="s">
        <v>103</v>
      </c>
      <c r="B10" s="254">
        <f>'1추일출'!I40</f>
        <v>0</v>
      </c>
      <c r="C10" s="254">
        <f>'1추일출'!J40</f>
        <v>0</v>
      </c>
      <c r="D10" s="254">
        <f>'1추일출'!K40</f>
        <v>0</v>
      </c>
      <c r="E10" s="254">
        <f>'1추일출'!L40</f>
        <v>0</v>
      </c>
      <c r="F10" s="254">
        <f>'1추일출'!M40</f>
        <v>0</v>
      </c>
      <c r="G10" s="282">
        <f t="shared" si="2"/>
        <v>0</v>
      </c>
      <c r="H10" s="269">
        <f>'1추일출'!N40</f>
        <v>0</v>
      </c>
      <c r="I10" s="254">
        <f>'1추일출'!O40</f>
        <v>0</v>
      </c>
      <c r="J10" s="254">
        <f>'1추일출'!AR40</f>
        <v>0</v>
      </c>
      <c r="K10" s="254">
        <f>'1추일출'!AS40</f>
        <v>0</v>
      </c>
      <c r="L10" s="270">
        <f t="shared" si="3"/>
        <v>0</v>
      </c>
      <c r="M10" s="270">
        <f>'1추일출'!R40</f>
        <v>0</v>
      </c>
      <c r="N10" s="283">
        <f t="shared" si="1"/>
        <v>0</v>
      </c>
    </row>
    <row r="11" spans="1:16352" s="30" customFormat="1" ht="30" customHeight="1">
      <c r="A11" s="266" t="s">
        <v>216</v>
      </c>
      <c r="B11" s="254">
        <f>'1추일출'!I51</f>
        <v>39727000</v>
      </c>
      <c r="C11" s="254">
        <f>'1추일출'!J51</f>
        <v>39077000</v>
      </c>
      <c r="D11" s="254">
        <f>'1추일출'!K51</f>
        <v>650000</v>
      </c>
      <c r="E11" s="254">
        <f>'1추일출'!L51</f>
        <v>-100000</v>
      </c>
      <c r="F11" s="254">
        <f>'1추일출'!M51</f>
        <v>296783</v>
      </c>
      <c r="G11" s="282">
        <f t="shared" si="2"/>
        <v>196783</v>
      </c>
      <c r="H11" s="269">
        <f>'1추일출'!N51</f>
        <v>39923783</v>
      </c>
      <c r="I11" s="254">
        <f>'1추일출'!O51</f>
        <v>-196783</v>
      </c>
      <c r="J11" s="254">
        <f>'1추일출'!AR51</f>
        <v>-270000</v>
      </c>
      <c r="K11" s="254">
        <f>'1추일출'!AS51</f>
        <v>100000</v>
      </c>
      <c r="L11" s="270">
        <f t="shared" si="3"/>
        <v>-170000</v>
      </c>
      <c r="M11" s="270">
        <f>'1추일출'!R51</f>
        <v>39727000</v>
      </c>
      <c r="N11" s="283">
        <f t="shared" si="1"/>
        <v>0</v>
      </c>
    </row>
    <row r="12" spans="1:16352" s="30" customFormat="1" ht="30" customHeight="1">
      <c r="A12" s="266" t="s">
        <v>232</v>
      </c>
      <c r="B12" s="254">
        <f>'1추일출'!I58</f>
        <v>0</v>
      </c>
      <c r="C12" s="254">
        <f>'1추일출'!J58</f>
        <v>0</v>
      </c>
      <c r="D12" s="254">
        <f>'1추일출'!K58</f>
        <v>0</v>
      </c>
      <c r="E12" s="254">
        <f>'1추일출'!L58</f>
        <v>0</v>
      </c>
      <c r="F12" s="254">
        <f>'1추일출'!M58</f>
        <v>0</v>
      </c>
      <c r="G12" s="282">
        <f t="shared" si="2"/>
        <v>0</v>
      </c>
      <c r="H12" s="269">
        <f>'1추일출'!N58</f>
        <v>0</v>
      </c>
      <c r="I12" s="254">
        <f>'1추일출'!O58</f>
        <v>0</v>
      </c>
      <c r="J12" s="254">
        <f>'1추일출'!AR58</f>
        <v>0</v>
      </c>
      <c r="K12" s="254">
        <f>'1추일출'!AS58</f>
        <v>0</v>
      </c>
      <c r="L12" s="270">
        <f t="shared" si="3"/>
        <v>0</v>
      </c>
      <c r="M12" s="270">
        <f>'1추일출'!R58</f>
        <v>0</v>
      </c>
      <c r="N12" s="283">
        <f t="shared" si="1"/>
        <v>0</v>
      </c>
    </row>
    <row r="13" spans="1:16352" s="30" customFormat="1" ht="30" customHeight="1">
      <c r="A13" s="266" t="s">
        <v>277</v>
      </c>
      <c r="B13" s="254">
        <f>'1추일출'!I69</f>
        <v>0</v>
      </c>
      <c r="C13" s="254">
        <f>'1추일출'!J69</f>
        <v>0</v>
      </c>
      <c r="D13" s="254">
        <f>'1추일출'!K69</f>
        <v>0</v>
      </c>
      <c r="E13" s="254">
        <f>'1추일출'!L69</f>
        <v>0</v>
      </c>
      <c r="F13" s="254">
        <f>'1추일출'!M69</f>
        <v>0</v>
      </c>
      <c r="G13" s="282">
        <f t="shared" si="2"/>
        <v>0</v>
      </c>
      <c r="H13" s="269">
        <f>'1추일출'!N69</f>
        <v>0</v>
      </c>
      <c r="I13" s="254">
        <f>'1추일출'!O69</f>
        <v>0</v>
      </c>
      <c r="J13" s="254">
        <f>'1추일출'!AR69</f>
        <v>0</v>
      </c>
      <c r="K13" s="254">
        <f>'1추일출'!AS69</f>
        <v>0</v>
      </c>
      <c r="L13" s="270">
        <f t="shared" si="3"/>
        <v>0</v>
      </c>
      <c r="M13" s="270">
        <f>'1추일출'!R69</f>
        <v>0</v>
      </c>
      <c r="N13" s="283">
        <f t="shared" si="1"/>
        <v>0</v>
      </c>
    </row>
    <row r="14" spans="1:16352" s="30" customFormat="1" ht="30" customHeight="1">
      <c r="A14" s="266" t="s">
        <v>304</v>
      </c>
      <c r="B14" s="254">
        <f>'1추일출'!I80</f>
        <v>0</v>
      </c>
      <c r="C14" s="254">
        <f>'1추일출'!J80</f>
        <v>0</v>
      </c>
      <c r="D14" s="254">
        <f>'1추일출'!K80</f>
        <v>0</v>
      </c>
      <c r="E14" s="254">
        <f>'1추일출'!L80</f>
        <v>0</v>
      </c>
      <c r="F14" s="254">
        <f>'1추일출'!M80</f>
        <v>0</v>
      </c>
      <c r="G14" s="282">
        <f t="shared" si="2"/>
        <v>0</v>
      </c>
      <c r="H14" s="269">
        <f>'1추일출'!N80</f>
        <v>0</v>
      </c>
      <c r="I14" s="254">
        <f>'1추일출'!O80</f>
        <v>0</v>
      </c>
      <c r="J14" s="254">
        <f>'1추일출'!AR80</f>
        <v>0</v>
      </c>
      <c r="K14" s="254">
        <f>'1추일출'!AS80</f>
        <v>0</v>
      </c>
      <c r="L14" s="270">
        <f t="shared" si="3"/>
        <v>0</v>
      </c>
      <c r="M14" s="270">
        <f>'1추일출'!R80</f>
        <v>0</v>
      </c>
      <c r="N14" s="283">
        <f t="shared" si="1"/>
        <v>0</v>
      </c>
    </row>
    <row r="15" spans="1:16352" s="30" customFormat="1" ht="30" customHeight="1">
      <c r="A15" s="266" t="s">
        <v>339</v>
      </c>
      <c r="B15" s="254">
        <f>'1추일출'!I91</f>
        <v>0</v>
      </c>
      <c r="C15" s="254">
        <f>'1추일출'!J91</f>
        <v>0</v>
      </c>
      <c r="D15" s="254">
        <f>'1추일출'!K91</f>
        <v>0</v>
      </c>
      <c r="E15" s="254">
        <f>'1추일출'!L91</f>
        <v>0</v>
      </c>
      <c r="F15" s="254">
        <f>'1추일출'!M91</f>
        <v>0</v>
      </c>
      <c r="G15" s="282">
        <f t="shared" si="2"/>
        <v>0</v>
      </c>
      <c r="H15" s="269">
        <f>'1추일출'!N91</f>
        <v>0</v>
      </c>
      <c r="I15" s="254">
        <f>'1추일출'!O91</f>
        <v>0</v>
      </c>
      <c r="J15" s="254">
        <f>'1추일출'!AR91</f>
        <v>0</v>
      </c>
      <c r="K15" s="254">
        <f>'1추일출'!AS91</f>
        <v>0</v>
      </c>
      <c r="L15" s="270">
        <f t="shared" si="3"/>
        <v>0</v>
      </c>
      <c r="M15" s="270">
        <f>'1추일출'!R91</f>
        <v>0</v>
      </c>
      <c r="N15" s="283">
        <f t="shared" si="1"/>
        <v>0</v>
      </c>
    </row>
    <row r="16" spans="1:16352" s="30" customFormat="1" ht="30" customHeight="1">
      <c r="A16" s="271" t="s">
        <v>380</v>
      </c>
      <c r="B16" s="272">
        <f>'1추일출'!I102</f>
        <v>0</v>
      </c>
      <c r="C16" s="272">
        <f>'1추일출'!J102</f>
        <v>0</v>
      </c>
      <c r="D16" s="272">
        <f>'1추일출'!K102</f>
        <v>0</v>
      </c>
      <c r="E16" s="272">
        <f>'1추일출'!L102</f>
        <v>0</v>
      </c>
      <c r="F16" s="272">
        <f>'1추일출'!M102</f>
        <v>0</v>
      </c>
      <c r="G16" s="285">
        <f t="shared" si="2"/>
        <v>0</v>
      </c>
      <c r="H16" s="273">
        <f>'1추일출'!N102</f>
        <v>0</v>
      </c>
      <c r="I16" s="272">
        <f>'1추일출'!O102</f>
        <v>0</v>
      </c>
      <c r="J16" s="272">
        <f>'1추일출'!AR102</f>
        <v>0</v>
      </c>
      <c r="K16" s="272">
        <f>'1추일출'!AS102</f>
        <v>0</v>
      </c>
      <c r="L16" s="274">
        <f t="shared" si="3"/>
        <v>0</v>
      </c>
      <c r="M16" s="274">
        <f>'1추일출'!R102</f>
        <v>0</v>
      </c>
      <c r="N16" s="28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18</vt:i4>
      </vt:variant>
    </vt:vector>
  </HeadingPairs>
  <TitlesOfParts>
    <vt:vector size="34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071추일입</vt:lpstr>
      <vt:lpstr>071추일출</vt:lpstr>
      <vt:lpstr>Sheet1 (3)</vt:lpstr>
      <vt:lpstr>'071추일입'!Print_Area</vt:lpstr>
      <vt:lpstr>'071추일출'!Print_Area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'071추일입'!Print_Titles</vt:lpstr>
      <vt:lpstr>'071추일출'!Print_Titles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2018-09-03T08:30:31Z</cp:lastPrinted>
  <dcterms:created xsi:type="dcterms:W3CDTF">2015-06-26T00:14:49Z</dcterms:created>
  <dcterms:modified xsi:type="dcterms:W3CDTF">2018-09-03T09:11:12Z</dcterms:modified>
</cp:coreProperties>
</file>