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D:\0. 여가교\3. 회기운영\2026년\9월 (추경, 동의안, 행감계획)\4. 추경\7. 계수조정\상임위\"/>
    </mc:Choice>
  </mc:AlternateContent>
  <xr:revisionPtr revIDLastSave="0" documentId="13_ncr:1_{34796718-B1F5-41C8-9075-DB3438F98A4B}" xr6:coauthVersionLast="37" xr6:coauthVersionMax="37" xr10:uidLastSave="{00000000-0000-0000-0000-000000000000}"/>
  <bookViews>
    <workbookView xWindow="0" yWindow="0" windowWidth="38400" windowHeight="11775" tabRatio="853" activeTab="3" xr2:uid="{00000000-000D-0000-FFFF-FFFF00000000}"/>
  </bookViews>
  <sheets>
    <sheet name="1. 표지 (상임위)" sheetId="44" r:id="rId1"/>
    <sheet name="1. 총괄표(상임위)" sheetId="39" r:id="rId2"/>
    <sheet name="3. 일입" sheetId="13" r:id="rId3"/>
    <sheet name="3. 일출(자체)" sheetId="15" r:id="rId4"/>
    <sheet name="3. 일출(의존)" sheetId="30" r:id="rId5"/>
    <sheet name="4. 특입" sheetId="31" state="hidden" r:id="rId6"/>
    <sheet name="4. 특출" sheetId="32" state="hidden" r:id="rId7"/>
    <sheet name="4-1. 공특입" sheetId="46" state="hidden" r:id="rId8"/>
    <sheet name="4-1. 공특출" sheetId="47" state="hidden" r:id="rId9"/>
    <sheet name="7. 검증" sheetId="3" r:id="rId10"/>
    <sheet name="구분표" sheetId="1" r:id="rId11"/>
  </sheets>
  <definedNames>
    <definedName name="_xlnm._FilterDatabase" localSheetId="2" hidden="1">'3. 일입'!$A$7:$BE$25</definedName>
    <definedName name="_xlnm._FilterDatabase" localSheetId="4" hidden="1">'3. 일출(의존)'!$A$6:$AY$22</definedName>
    <definedName name="_xlnm._FilterDatabase" localSheetId="3" hidden="1">'3. 일출(자체)'!$A$6:$AS$19</definedName>
    <definedName name="_xlnm._FilterDatabase" localSheetId="5" hidden="1">'4. 특입'!$A$6:$AQ$51</definedName>
    <definedName name="_xlnm._FilterDatabase" localSheetId="6" hidden="1">'4. 특출'!$A$5:$AQ$50</definedName>
    <definedName name="_xlnm._FilterDatabase" localSheetId="7" hidden="1">'4-1. 공특입'!$A$6:$Z$16</definedName>
    <definedName name="_xlnm._FilterDatabase" localSheetId="8" hidden="1">'4-1. 공특출'!$A$5:$AB$15</definedName>
    <definedName name="_xlnm._FilterDatabase" localSheetId="10" hidden="1">구분표!$A$2:$P$254</definedName>
    <definedName name="_xlnm.Print_Area" localSheetId="1">'1. 총괄표(상임위)'!$A$1:$I$28</definedName>
    <definedName name="_xlnm.Print_Area" localSheetId="0">'1. 표지 (상임위)'!$A$1:$M$15</definedName>
    <definedName name="_xlnm.Print_Area" localSheetId="2">'3. 일입'!$A$1:$BE$25</definedName>
    <definedName name="_xlnm.Print_Area" localSheetId="4">'3. 일출(의존)'!$A$1:$AX$31</definedName>
    <definedName name="_xlnm.Print_Area" localSheetId="3">'3. 일출(자체)'!$A$1:$AS$19</definedName>
    <definedName name="_xlnm.Print_Area" localSheetId="5">'4. 특입'!$A$1:$AQ$52</definedName>
    <definedName name="_xlnm.Print_Area" localSheetId="6">'4. 특출'!$A$1:$AQ$51</definedName>
    <definedName name="_xlnm.Print_Area" localSheetId="7">'4-1. 공특입'!$A$1:$Z$16</definedName>
    <definedName name="_xlnm.Print_Area" localSheetId="8">'4-1. 공특출'!$A$1:$AA$15</definedName>
    <definedName name="_xlnm.Print_Area" localSheetId="9">'7. 검증'!$A$1:$M$15</definedName>
    <definedName name="_xlnm.Print_Titles" localSheetId="2">'3. 일입'!$3:$6</definedName>
    <definedName name="_xlnm.Print_Titles" localSheetId="4">'3. 일출(의존)'!$2:$5</definedName>
    <definedName name="_xlnm.Print_Titles" localSheetId="3">'3. 일출(자체)'!$2:$5</definedName>
    <definedName name="_xlnm.Print_Titles" localSheetId="5">'4. 특입'!$4:$5</definedName>
    <definedName name="_xlnm.Print_Titles" localSheetId="6">'4. 특출'!$2:$4</definedName>
    <definedName name="_xlnm.Print_Titles" localSheetId="7">'4-1. 공특입'!$4:$5</definedName>
    <definedName name="_xlnm.Print_Titles" localSheetId="8">'4-1. 공특출'!$2:$4</definedName>
  </definedNames>
  <calcPr calcId="179021"/>
</workbook>
</file>

<file path=xl/calcChain.xml><?xml version="1.0" encoding="utf-8"?>
<calcChain xmlns="http://schemas.openxmlformats.org/spreadsheetml/2006/main">
  <c r="AO13" i="15" l="1"/>
  <c r="AP13" i="15" s="1"/>
  <c r="AN13" i="15"/>
  <c r="AJ13" i="15"/>
  <c r="AI13" i="15"/>
  <c r="AH13" i="15"/>
  <c r="AK13" i="15" s="1"/>
  <c r="AE13" i="15"/>
  <c r="AD13" i="15"/>
  <c r="AF13" i="15" s="1"/>
  <c r="AC13" i="15"/>
  <c r="O13" i="15"/>
  <c r="S13" i="15" s="1"/>
  <c r="N13" i="15"/>
  <c r="M13" i="15"/>
  <c r="I13" i="15"/>
  <c r="J13" i="15" s="1"/>
  <c r="G13" i="15"/>
  <c r="F13" i="15"/>
  <c r="C13" i="15"/>
  <c r="AR13" i="15" s="1" a="1"/>
  <c r="AR13" i="15" s="1"/>
  <c r="B13" i="15"/>
  <c r="A13" i="15"/>
  <c r="AO12" i="15"/>
  <c r="AP12" i="15" s="1"/>
  <c r="AN12" i="15"/>
  <c r="AJ12" i="15"/>
  <c r="AI12" i="15"/>
  <c r="AH12" i="15"/>
  <c r="AK12" i="15" s="1"/>
  <c r="AF12" i="15"/>
  <c r="AE12" i="15"/>
  <c r="AD12" i="15"/>
  <c r="AC12" i="15"/>
  <c r="Q12" i="15"/>
  <c r="O12" i="15"/>
  <c r="S12" i="15" s="1"/>
  <c r="T12" i="15" s="1"/>
  <c r="N12" i="15"/>
  <c r="M12" i="15"/>
  <c r="I12" i="15"/>
  <c r="J12" i="15" s="1"/>
  <c r="G12" i="15"/>
  <c r="F12" i="15"/>
  <c r="C12" i="15"/>
  <c r="B12" i="15"/>
  <c r="A12" i="15"/>
  <c r="AO11" i="15"/>
  <c r="AP11" i="15" s="1"/>
  <c r="AN11" i="15"/>
  <c r="AJ11" i="15"/>
  <c r="AI11" i="15"/>
  <c r="AH11" i="15"/>
  <c r="AE11" i="15"/>
  <c r="AD11" i="15"/>
  <c r="AC11" i="15" s="1"/>
  <c r="O11" i="15"/>
  <c r="I11" i="15"/>
  <c r="J11" i="15" s="1"/>
  <c r="C11" i="15"/>
  <c r="B11" i="15" s="1"/>
  <c r="AO15" i="15"/>
  <c r="AP15" i="15" s="1"/>
  <c r="AN15" i="15"/>
  <c r="AJ15" i="15"/>
  <c r="AI15" i="15"/>
  <c r="AH15" i="15"/>
  <c r="AK15" i="15" s="1"/>
  <c r="AE15" i="15"/>
  <c r="AD15" i="15"/>
  <c r="AC15" i="15"/>
  <c r="O15" i="15"/>
  <c r="S15" i="15" s="1"/>
  <c r="N15" i="15"/>
  <c r="M15" i="15"/>
  <c r="I15" i="15"/>
  <c r="J15" i="15" s="1"/>
  <c r="G15" i="15"/>
  <c r="F15" i="15"/>
  <c r="C15" i="15"/>
  <c r="AR15" i="15" s="1" a="1"/>
  <c r="AR15" i="15" s="1"/>
  <c r="B15" i="15"/>
  <c r="A15" i="15"/>
  <c r="AO16" i="15"/>
  <c r="AP16" i="15" s="1"/>
  <c r="AN16" i="15"/>
  <c r="AJ16" i="15"/>
  <c r="AI16" i="15"/>
  <c r="AH16" i="15"/>
  <c r="AK16" i="15" s="1"/>
  <c r="AE16" i="15"/>
  <c r="AD16" i="15"/>
  <c r="AC16" i="15"/>
  <c r="O16" i="15"/>
  <c r="S16" i="15" s="1"/>
  <c r="N16" i="15"/>
  <c r="M16" i="15"/>
  <c r="I16" i="15"/>
  <c r="J16" i="15" s="1"/>
  <c r="G16" i="15"/>
  <c r="F16" i="15"/>
  <c r="C16" i="15"/>
  <c r="B16" i="15"/>
  <c r="A16" i="15"/>
  <c r="AF15" i="15" l="1"/>
  <c r="AK11" i="15"/>
  <c r="AF16" i="15"/>
  <c r="AR12" i="15" a="1"/>
  <c r="AR12" i="15" s="1"/>
  <c r="S11" i="15"/>
  <c r="AR11" i="15" a="1"/>
  <c r="AR11" i="15" s="1"/>
  <c r="Q11" i="15"/>
  <c r="T11" i="15" s="1"/>
  <c r="Q13" i="15"/>
  <c r="T13" i="15" s="1"/>
  <c r="AR16" i="15" a="1"/>
  <c r="AR16" i="15" s="1"/>
  <c r="Q15" i="15"/>
  <c r="T15" i="15" s="1"/>
  <c r="Q16" i="15"/>
  <c r="T16" i="15" s="1"/>
  <c r="N14" i="15"/>
  <c r="N17" i="15"/>
  <c r="N18" i="15"/>
  <c r="N19" i="15"/>
  <c r="M14" i="15"/>
  <c r="M17" i="15"/>
  <c r="M18" i="15"/>
  <c r="M19" i="15"/>
  <c r="AO10" i="15"/>
  <c r="AP10" i="15" s="1"/>
  <c r="AN10" i="15"/>
  <c r="AJ10" i="15"/>
  <c r="AI10" i="15"/>
  <c r="AH10" i="15"/>
  <c r="AE10" i="15"/>
  <c r="AD10" i="15"/>
  <c r="AC10" i="15" s="1"/>
  <c r="O10" i="15"/>
  <c r="Q10" i="15" s="1"/>
  <c r="I10" i="15"/>
  <c r="J10" i="15" s="1"/>
  <c r="C10" i="15"/>
  <c r="AO17" i="15"/>
  <c r="AP17" i="15" s="1"/>
  <c r="AN17" i="15"/>
  <c r="AJ17" i="15"/>
  <c r="AI17" i="15"/>
  <c r="AH17" i="15"/>
  <c r="AE17" i="15"/>
  <c r="AD17" i="15"/>
  <c r="AC17" i="15"/>
  <c r="O17" i="15"/>
  <c r="S17" i="15" s="1"/>
  <c r="I17" i="15"/>
  <c r="J17" i="15" s="1"/>
  <c r="G17" i="15"/>
  <c r="F17" i="15"/>
  <c r="C17" i="15"/>
  <c r="B17" i="15"/>
  <c r="A17" i="15"/>
  <c r="AO14" i="15"/>
  <c r="AP14" i="15" s="1"/>
  <c r="AN14" i="15"/>
  <c r="AJ14" i="15"/>
  <c r="AI14" i="15"/>
  <c r="AH14" i="15"/>
  <c r="AE14" i="15"/>
  <c r="AD14" i="15"/>
  <c r="AC14" i="15"/>
  <c r="O14" i="15"/>
  <c r="Q14" i="15" s="1"/>
  <c r="I14" i="15"/>
  <c r="J14" i="15" s="1"/>
  <c r="G14" i="15"/>
  <c r="F14" i="15"/>
  <c r="C14" i="15"/>
  <c r="B14" i="15"/>
  <c r="A14" i="15"/>
  <c r="AF10" i="15" l="1"/>
  <c r="AF11" i="15"/>
  <c r="AF14" i="15"/>
  <c r="AK17" i="15"/>
  <c r="B10" i="15"/>
  <c r="AR10" i="15" s="1" a="1"/>
  <c r="AR10" i="15" s="1"/>
  <c r="S10" i="15"/>
  <c r="T10" i="15" s="1"/>
  <c r="AK10" i="15"/>
  <c r="S14" i="15"/>
  <c r="T14" i="15" s="1"/>
  <c r="AR14" i="15" a="1"/>
  <c r="AR14" i="15" s="1"/>
  <c r="AK14" i="15"/>
  <c r="AR17" i="15" a="1"/>
  <c r="AR17" i="15" s="1"/>
  <c r="Q17" i="15"/>
  <c r="T17" i="15" s="1"/>
  <c r="AF17" i="15"/>
  <c r="N15" i="47" l="1"/>
  <c r="M15" i="47"/>
  <c r="N14" i="47"/>
  <c r="M14" i="47"/>
  <c r="N13" i="47"/>
  <c r="M13" i="47"/>
  <c r="N12" i="47"/>
  <c r="M12" i="47"/>
  <c r="N10" i="47"/>
  <c r="M10" i="47"/>
  <c r="N9" i="47"/>
  <c r="M9" i="47"/>
  <c r="N8" i="47"/>
  <c r="M8" i="47"/>
  <c r="N7" i="47"/>
  <c r="M7" i="47"/>
  <c r="M16" i="46"/>
  <c r="L16" i="46"/>
  <c r="M15" i="46"/>
  <c r="L15" i="46"/>
  <c r="M14" i="46"/>
  <c r="L14" i="46"/>
  <c r="M13" i="46"/>
  <c r="L13" i="46"/>
  <c r="G16" i="46"/>
  <c r="F16" i="46"/>
  <c r="G15" i="46"/>
  <c r="F15" i="46"/>
  <c r="G14" i="46"/>
  <c r="F14" i="46"/>
  <c r="G13" i="46"/>
  <c r="F13" i="46"/>
  <c r="G15" i="47"/>
  <c r="F15" i="47"/>
  <c r="G14" i="47"/>
  <c r="F14" i="47"/>
  <c r="G13" i="47"/>
  <c r="F13" i="47"/>
  <c r="G12" i="47"/>
  <c r="F12" i="47"/>
  <c r="G10" i="47"/>
  <c r="F10" i="47"/>
  <c r="G9" i="47"/>
  <c r="F9" i="47"/>
  <c r="G8" i="47"/>
  <c r="F8" i="47"/>
  <c r="G7" i="47"/>
  <c r="F7" i="47"/>
  <c r="M11" i="46"/>
  <c r="L11" i="46"/>
  <c r="M10" i="46"/>
  <c r="L10" i="46"/>
  <c r="M9" i="46"/>
  <c r="L9" i="46"/>
  <c r="M8" i="46"/>
  <c r="L8" i="46"/>
  <c r="G11" i="46"/>
  <c r="F11" i="46"/>
  <c r="G10" i="46"/>
  <c r="F10" i="46"/>
  <c r="G9" i="46"/>
  <c r="F9" i="46"/>
  <c r="G8" i="46"/>
  <c r="F8" i="46"/>
  <c r="N50" i="32"/>
  <c r="M50" i="32"/>
  <c r="N49" i="32"/>
  <c r="M49" i="32"/>
  <c r="N48" i="32"/>
  <c r="M48" i="32"/>
  <c r="N47" i="32"/>
  <c r="M47" i="32"/>
  <c r="N45" i="32"/>
  <c r="M45" i="32"/>
  <c r="N44" i="32"/>
  <c r="M44" i="32"/>
  <c r="N43" i="32"/>
  <c r="M43" i="32"/>
  <c r="N42" i="32"/>
  <c r="M42" i="32"/>
  <c r="N40" i="32"/>
  <c r="M40" i="32"/>
  <c r="N39" i="32"/>
  <c r="M39" i="32"/>
  <c r="N38" i="32"/>
  <c r="M38" i="32"/>
  <c r="N37" i="32"/>
  <c r="M37" i="32"/>
  <c r="N35" i="32"/>
  <c r="M35" i="32"/>
  <c r="N34" i="32"/>
  <c r="M34" i="32"/>
  <c r="N33" i="32"/>
  <c r="M33" i="32"/>
  <c r="N32" i="32"/>
  <c r="M32" i="32"/>
  <c r="N30" i="32"/>
  <c r="M30" i="32"/>
  <c r="N29" i="32"/>
  <c r="M29" i="32"/>
  <c r="N28" i="32"/>
  <c r="M28" i="32"/>
  <c r="N27" i="32"/>
  <c r="M27" i="32"/>
  <c r="N25" i="32"/>
  <c r="M25" i="32"/>
  <c r="N24" i="32"/>
  <c r="M24" i="32"/>
  <c r="N23" i="32"/>
  <c r="M23" i="32"/>
  <c r="N22" i="32"/>
  <c r="M22" i="32"/>
  <c r="N20" i="32"/>
  <c r="M20" i="32"/>
  <c r="N19" i="32"/>
  <c r="M19" i="32"/>
  <c r="N18" i="32"/>
  <c r="M18" i="32"/>
  <c r="N17" i="32"/>
  <c r="M17" i="32"/>
  <c r="N15" i="32"/>
  <c r="M15" i="32"/>
  <c r="N14" i="32"/>
  <c r="M14" i="32"/>
  <c r="N13" i="32"/>
  <c r="M13" i="32"/>
  <c r="N12" i="32"/>
  <c r="M12" i="32"/>
  <c r="N10" i="32"/>
  <c r="M10" i="32"/>
  <c r="N9" i="32"/>
  <c r="M9" i="32"/>
  <c r="N8" i="32"/>
  <c r="M8" i="32"/>
  <c r="N7" i="32"/>
  <c r="M7" i="32"/>
  <c r="G50" i="32"/>
  <c r="F50" i="32"/>
  <c r="G49" i="32"/>
  <c r="F49" i="32"/>
  <c r="G48" i="32"/>
  <c r="F48" i="32"/>
  <c r="G47" i="32"/>
  <c r="F47" i="32"/>
  <c r="G45" i="32"/>
  <c r="F45" i="32"/>
  <c r="G44" i="32"/>
  <c r="F44" i="32"/>
  <c r="G43" i="32"/>
  <c r="F43" i="32"/>
  <c r="G42" i="32"/>
  <c r="F42" i="32"/>
  <c r="G40" i="32"/>
  <c r="F40" i="32"/>
  <c r="G39" i="32"/>
  <c r="F39" i="32"/>
  <c r="G38" i="32"/>
  <c r="F38" i="32"/>
  <c r="G37" i="32"/>
  <c r="F37" i="32"/>
  <c r="G35" i="32"/>
  <c r="F35" i="32"/>
  <c r="G34" i="32"/>
  <c r="F34" i="32"/>
  <c r="G33" i="32"/>
  <c r="F33" i="32"/>
  <c r="G32" i="32"/>
  <c r="F32" i="32"/>
  <c r="G30" i="32"/>
  <c r="F30" i="32"/>
  <c r="G29" i="32"/>
  <c r="F29" i="32"/>
  <c r="G28" i="32"/>
  <c r="F28" i="32"/>
  <c r="G27" i="32"/>
  <c r="F27" i="32"/>
  <c r="G25" i="32"/>
  <c r="F25" i="32"/>
  <c r="G24" i="32"/>
  <c r="F24" i="32"/>
  <c r="G23" i="32"/>
  <c r="F23" i="32"/>
  <c r="G22" i="32"/>
  <c r="F22" i="32"/>
  <c r="G20" i="32"/>
  <c r="F20" i="32"/>
  <c r="G19" i="32"/>
  <c r="F19" i="32"/>
  <c r="G18" i="32"/>
  <c r="F18" i="32"/>
  <c r="G17" i="32"/>
  <c r="F17" i="32"/>
  <c r="G15" i="32"/>
  <c r="F15" i="32"/>
  <c r="G14" i="32"/>
  <c r="F14" i="32"/>
  <c r="G13" i="32"/>
  <c r="F13" i="32"/>
  <c r="G12" i="32"/>
  <c r="F12" i="32"/>
  <c r="G10" i="32"/>
  <c r="F10" i="32"/>
  <c r="G9" i="32"/>
  <c r="F9" i="32"/>
  <c r="G8" i="32"/>
  <c r="F8" i="32"/>
  <c r="G7" i="32"/>
  <c r="F7" i="32"/>
  <c r="L51" i="31"/>
  <c r="K51" i="31"/>
  <c r="L50" i="31"/>
  <c r="K50" i="31"/>
  <c r="L49" i="31"/>
  <c r="K49" i="31"/>
  <c r="L48" i="31"/>
  <c r="K48" i="31"/>
  <c r="L46" i="31"/>
  <c r="K46" i="31"/>
  <c r="L45" i="31"/>
  <c r="K45" i="31"/>
  <c r="L44" i="31"/>
  <c r="K44" i="31"/>
  <c r="L43" i="31"/>
  <c r="K43" i="31"/>
  <c r="L41" i="31"/>
  <c r="K41" i="31"/>
  <c r="L40" i="31"/>
  <c r="K40" i="31"/>
  <c r="L39" i="31"/>
  <c r="K39" i="31"/>
  <c r="L38" i="31"/>
  <c r="K38" i="31"/>
  <c r="L36" i="31"/>
  <c r="K36" i="31"/>
  <c r="L35" i="31"/>
  <c r="K35" i="31"/>
  <c r="L34" i="31"/>
  <c r="K34" i="31"/>
  <c r="L33" i="31"/>
  <c r="K33" i="31"/>
  <c r="L31" i="31"/>
  <c r="K31" i="31"/>
  <c r="L30" i="31"/>
  <c r="K30" i="31"/>
  <c r="L29" i="31"/>
  <c r="K29" i="31"/>
  <c r="L28" i="31"/>
  <c r="K28" i="31"/>
  <c r="L26" i="31"/>
  <c r="K26" i="31"/>
  <c r="L25" i="31"/>
  <c r="K25" i="31"/>
  <c r="L24" i="31"/>
  <c r="K24" i="31"/>
  <c r="L23" i="31"/>
  <c r="K23" i="31"/>
  <c r="L21" i="31"/>
  <c r="K21" i="31"/>
  <c r="L20" i="31"/>
  <c r="K20" i="31"/>
  <c r="L19" i="31"/>
  <c r="K19" i="31"/>
  <c r="L18" i="31"/>
  <c r="K18" i="31"/>
  <c r="L16" i="31"/>
  <c r="K16" i="31"/>
  <c r="L15" i="31"/>
  <c r="K15" i="31"/>
  <c r="L14" i="31"/>
  <c r="K14" i="31"/>
  <c r="L13" i="31"/>
  <c r="K13" i="31"/>
  <c r="L11" i="31"/>
  <c r="K11" i="31"/>
  <c r="L10" i="31"/>
  <c r="K10" i="31"/>
  <c r="L9" i="31"/>
  <c r="K9" i="31"/>
  <c r="L8" i="31"/>
  <c r="K8" i="31"/>
  <c r="G51" i="31"/>
  <c r="F51" i="31"/>
  <c r="G50" i="31"/>
  <c r="F50" i="31"/>
  <c r="G49" i="31"/>
  <c r="F49" i="31"/>
  <c r="G48" i="31"/>
  <c r="F48" i="31"/>
  <c r="G46" i="31"/>
  <c r="F46" i="31"/>
  <c r="G45" i="31"/>
  <c r="F45" i="31"/>
  <c r="G44" i="31"/>
  <c r="F44" i="31"/>
  <c r="G43" i="31"/>
  <c r="F43" i="31"/>
  <c r="G41" i="31"/>
  <c r="F41" i="31"/>
  <c r="G40" i="31"/>
  <c r="F40" i="31"/>
  <c r="G39" i="31"/>
  <c r="F39" i="31"/>
  <c r="G38" i="31"/>
  <c r="F38" i="31"/>
  <c r="G36" i="31"/>
  <c r="F36" i="31"/>
  <c r="G35" i="31"/>
  <c r="F35" i="31"/>
  <c r="G34" i="31"/>
  <c r="F34" i="31"/>
  <c r="G33" i="31"/>
  <c r="F33" i="31"/>
  <c r="G31" i="31"/>
  <c r="F31" i="31"/>
  <c r="G30" i="31"/>
  <c r="F30" i="31"/>
  <c r="G29" i="31"/>
  <c r="F29" i="31"/>
  <c r="G28" i="31"/>
  <c r="F28" i="31"/>
  <c r="G26" i="31"/>
  <c r="F26" i="31"/>
  <c r="G25" i="31"/>
  <c r="F25" i="31"/>
  <c r="G24" i="31"/>
  <c r="F24" i="31"/>
  <c r="G23" i="31"/>
  <c r="F23" i="31"/>
  <c r="G21" i="31"/>
  <c r="F21" i="31"/>
  <c r="G20" i="31"/>
  <c r="F20" i="31"/>
  <c r="G19" i="31"/>
  <c r="F19" i="31"/>
  <c r="G18" i="31"/>
  <c r="F18" i="31"/>
  <c r="G16" i="31"/>
  <c r="F16" i="31"/>
  <c r="G15" i="31"/>
  <c r="F15" i="31"/>
  <c r="G14" i="31"/>
  <c r="F14" i="31"/>
  <c r="G13" i="31"/>
  <c r="F13" i="31"/>
  <c r="G11" i="31"/>
  <c r="F11" i="31"/>
  <c r="G10" i="31"/>
  <c r="F10" i="31"/>
  <c r="G9" i="31"/>
  <c r="F9" i="31"/>
  <c r="G8" i="31"/>
  <c r="F8" i="31"/>
  <c r="N22" i="30"/>
  <c r="M22" i="30"/>
  <c r="N21" i="30"/>
  <c r="M21" i="30"/>
  <c r="N20" i="30"/>
  <c r="M20" i="30"/>
  <c r="N19" i="30"/>
  <c r="M19" i="30"/>
  <c r="N18" i="30"/>
  <c r="M18" i="30"/>
  <c r="N17" i="30"/>
  <c r="M17" i="30"/>
  <c r="N16" i="30"/>
  <c r="M16" i="30"/>
  <c r="N15" i="30"/>
  <c r="M15" i="30"/>
  <c r="N14" i="30"/>
  <c r="M14" i="30"/>
  <c r="N13" i="30"/>
  <c r="M13" i="30"/>
  <c r="N12" i="30"/>
  <c r="M12" i="30"/>
  <c r="N11" i="30"/>
  <c r="M11" i="30"/>
  <c r="N10" i="30"/>
  <c r="M10" i="30"/>
  <c r="N9" i="30"/>
  <c r="M9" i="30"/>
  <c r="N8" i="30"/>
  <c r="G22" i="30"/>
  <c r="F22" i="30"/>
  <c r="G21" i="30"/>
  <c r="F21" i="30"/>
  <c r="G20" i="30"/>
  <c r="F20" i="30"/>
  <c r="G19" i="30"/>
  <c r="F19" i="30"/>
  <c r="G18" i="30"/>
  <c r="F18" i="30"/>
  <c r="G17" i="30"/>
  <c r="F17" i="30"/>
  <c r="G16" i="30"/>
  <c r="F16" i="30"/>
  <c r="G15" i="30"/>
  <c r="F15" i="30"/>
  <c r="G14" i="30"/>
  <c r="F14" i="30"/>
  <c r="G13" i="30"/>
  <c r="F13" i="30"/>
  <c r="G12" i="30"/>
  <c r="F12" i="30"/>
  <c r="G11" i="30"/>
  <c r="F11" i="30"/>
  <c r="G10" i="30"/>
  <c r="F10" i="30"/>
  <c r="G9" i="30"/>
  <c r="F9" i="30"/>
  <c r="G8" i="30"/>
  <c r="F8" i="30"/>
  <c r="G19" i="15"/>
  <c r="F19" i="15"/>
  <c r="G18" i="15"/>
  <c r="F18" i="15"/>
  <c r="L25" i="13"/>
  <c r="K25" i="13"/>
  <c r="L24" i="13"/>
  <c r="K24" i="13"/>
  <c r="L23" i="13"/>
  <c r="K23" i="13"/>
  <c r="L22" i="13"/>
  <c r="K22" i="13"/>
  <c r="L21" i="13"/>
  <c r="K21" i="13"/>
  <c r="L20" i="13"/>
  <c r="K20" i="13"/>
  <c r="L19" i="13"/>
  <c r="K19" i="13"/>
  <c r="L18" i="13"/>
  <c r="K18" i="13"/>
  <c r="L17" i="13"/>
  <c r="K17" i="13"/>
  <c r="L16" i="13"/>
  <c r="K16" i="13"/>
  <c r="L15" i="13"/>
  <c r="K15" i="13"/>
  <c r="L14" i="13"/>
  <c r="K14" i="13"/>
  <c r="L13" i="13"/>
  <c r="K13" i="13"/>
  <c r="L12" i="13"/>
  <c r="K12" i="13"/>
  <c r="L11" i="13"/>
  <c r="K11" i="13"/>
  <c r="L9" i="13"/>
  <c r="G25" i="13"/>
  <c r="F25" i="13"/>
  <c r="G24" i="13"/>
  <c r="F24" i="13"/>
  <c r="G23" i="13"/>
  <c r="F23" i="13"/>
  <c r="G22" i="13"/>
  <c r="F22" i="13"/>
  <c r="G21" i="13"/>
  <c r="F21" i="13"/>
  <c r="G20" i="13"/>
  <c r="F20" i="13"/>
  <c r="G19" i="13"/>
  <c r="F19" i="13"/>
  <c r="G18" i="13"/>
  <c r="F18" i="13"/>
  <c r="G17" i="13"/>
  <c r="F17" i="13"/>
  <c r="G16" i="13"/>
  <c r="F16" i="13"/>
  <c r="G15" i="13"/>
  <c r="F15" i="13"/>
  <c r="G14" i="13"/>
  <c r="F14" i="13"/>
  <c r="G13" i="13"/>
  <c r="F13" i="13"/>
  <c r="G12" i="13"/>
  <c r="F12" i="13"/>
  <c r="G11" i="13"/>
  <c r="F11" i="13"/>
  <c r="G9" i="13"/>
  <c r="F9" i="13"/>
  <c r="K46" i="3" l="1"/>
  <c r="K44" i="3"/>
  <c r="D46" i="3"/>
  <c r="D44" i="3"/>
  <c r="K42" i="3"/>
  <c r="D42" i="3"/>
  <c r="K40" i="3"/>
  <c r="D40" i="3"/>
  <c r="I46" i="3"/>
  <c r="I45" i="3"/>
  <c r="I44" i="3"/>
  <c r="B46" i="3"/>
  <c r="B45" i="3"/>
  <c r="B44" i="3"/>
  <c r="I42" i="3"/>
  <c r="B42" i="3"/>
  <c r="I41" i="3"/>
  <c r="B41" i="3"/>
  <c r="I40" i="3"/>
  <c r="B40" i="3"/>
  <c r="K32" i="3"/>
  <c r="K31" i="3" s="1"/>
  <c r="D32" i="3"/>
  <c r="K43" i="3" l="1"/>
  <c r="K39" i="3"/>
  <c r="I43" i="3"/>
  <c r="B43" i="3"/>
  <c r="I39" i="3"/>
  <c r="D43" i="3"/>
  <c r="D39" i="3"/>
  <c r="B39" i="3"/>
  <c r="D31" i="3"/>
  <c r="L43" i="3" l="1"/>
  <c r="K38" i="3"/>
  <c r="L39" i="3"/>
  <c r="M43" i="3"/>
  <c r="F43" i="3"/>
  <c r="I38" i="3"/>
  <c r="M39" i="3"/>
  <c r="E43" i="3"/>
  <c r="D38" i="3"/>
  <c r="E39" i="3"/>
  <c r="B38" i="3"/>
  <c r="F39" i="3"/>
  <c r="O15" i="47"/>
  <c r="Q15" i="47" s="1"/>
  <c r="C15" i="47"/>
  <c r="B15" i="47"/>
  <c r="O14" i="47"/>
  <c r="S14" i="47" s="1"/>
  <c r="C14" i="47"/>
  <c r="B14" i="47"/>
  <c r="O13" i="47"/>
  <c r="S13" i="47" s="1"/>
  <c r="C13" i="47"/>
  <c r="B13" i="47"/>
  <c r="O12" i="47"/>
  <c r="S12" i="47" s="1"/>
  <c r="C12" i="47"/>
  <c r="B12" i="47"/>
  <c r="O10" i="47"/>
  <c r="S10" i="47" s="1"/>
  <c r="C10" i="47"/>
  <c r="B10" i="47"/>
  <c r="O9" i="47"/>
  <c r="Q9" i="47" s="1"/>
  <c r="C9" i="47"/>
  <c r="B9" i="47"/>
  <c r="O8" i="47"/>
  <c r="S8" i="47" s="1"/>
  <c r="C8" i="47"/>
  <c r="B8" i="47"/>
  <c r="N16" i="46"/>
  <c r="R16" i="46" s="1"/>
  <c r="C16" i="46"/>
  <c r="B16" i="46"/>
  <c r="N15" i="46"/>
  <c r="R15" i="46" s="1"/>
  <c r="C15" i="46"/>
  <c r="B15" i="46"/>
  <c r="N14" i="46"/>
  <c r="R14" i="46" s="1"/>
  <c r="C14" i="46"/>
  <c r="B14" i="46"/>
  <c r="N13" i="46"/>
  <c r="R13" i="46" s="1"/>
  <c r="C13" i="46"/>
  <c r="B13" i="46"/>
  <c r="N11" i="46"/>
  <c r="R11" i="46" s="1"/>
  <c r="C11" i="46"/>
  <c r="B11" i="46"/>
  <c r="N10" i="46"/>
  <c r="R10" i="46" s="1"/>
  <c r="C10" i="46"/>
  <c r="B10" i="46"/>
  <c r="C9" i="46"/>
  <c r="B9" i="46"/>
  <c r="AM50" i="32"/>
  <c r="AN50" i="32" s="1"/>
  <c r="Z50" i="32"/>
  <c r="AJ50" i="32" s="1"/>
  <c r="O50" i="32"/>
  <c r="Q50" i="32" s="1"/>
  <c r="I50" i="32"/>
  <c r="J50" i="32" s="1"/>
  <c r="C50" i="32"/>
  <c r="B50" i="32"/>
  <c r="AM49" i="32"/>
  <c r="AN49" i="32" s="1"/>
  <c r="Z49" i="32"/>
  <c r="AF49" i="32" s="1"/>
  <c r="O49" i="32"/>
  <c r="S49" i="32" s="1"/>
  <c r="I49" i="32"/>
  <c r="J49" i="32" s="1"/>
  <c r="C49" i="32"/>
  <c r="B49" i="32"/>
  <c r="AM48" i="32"/>
  <c r="AN48" i="32" s="1"/>
  <c r="Z48" i="32"/>
  <c r="AB48" i="32" s="1"/>
  <c r="AC48" i="32" s="1"/>
  <c r="O48" i="32"/>
  <c r="S48" i="32" s="1"/>
  <c r="I48" i="32"/>
  <c r="J48" i="32" s="1"/>
  <c r="C48" i="32"/>
  <c r="B48" i="32"/>
  <c r="AM47" i="32"/>
  <c r="AN47" i="32" s="1"/>
  <c r="Z47" i="32"/>
  <c r="O47" i="32"/>
  <c r="S47" i="32" s="1"/>
  <c r="I47" i="32"/>
  <c r="J47" i="32" s="1"/>
  <c r="C47" i="32"/>
  <c r="B47" i="32"/>
  <c r="AM45" i="32"/>
  <c r="AN45" i="32" s="1"/>
  <c r="Z45" i="32"/>
  <c r="AJ45" i="32" s="1"/>
  <c r="AK45" i="32" s="1"/>
  <c r="O45" i="32"/>
  <c r="I45" i="32"/>
  <c r="J45" i="32" s="1"/>
  <c r="C45" i="32"/>
  <c r="B45" i="32"/>
  <c r="AM44" i="32"/>
  <c r="AN44" i="32" s="1"/>
  <c r="Z44" i="32"/>
  <c r="AB44" i="32" s="1"/>
  <c r="O44" i="32"/>
  <c r="S44" i="32" s="1"/>
  <c r="I44" i="32"/>
  <c r="J44" i="32" s="1"/>
  <c r="C44" i="32"/>
  <c r="B44" i="32"/>
  <c r="AM43" i="32"/>
  <c r="AN43" i="32" s="1"/>
  <c r="Z43" i="32"/>
  <c r="AB43" i="32" s="1"/>
  <c r="O43" i="32"/>
  <c r="S43" i="32" s="1"/>
  <c r="I43" i="32"/>
  <c r="J43" i="32" s="1"/>
  <c r="C43" i="32"/>
  <c r="B43" i="32"/>
  <c r="AM42" i="32"/>
  <c r="AN42" i="32" s="1"/>
  <c r="Z42" i="32"/>
  <c r="AJ42" i="32" s="1"/>
  <c r="O42" i="32"/>
  <c r="S42" i="32" s="1"/>
  <c r="I42" i="32"/>
  <c r="J42" i="32" s="1"/>
  <c r="C42" i="32"/>
  <c r="B42" i="32"/>
  <c r="AM40" i="32"/>
  <c r="AN40" i="32" s="1"/>
  <c r="Z40" i="32"/>
  <c r="AF40" i="32" s="1"/>
  <c r="O40" i="32"/>
  <c r="S40" i="32" s="1"/>
  <c r="I40" i="32"/>
  <c r="J40" i="32" s="1"/>
  <c r="C40" i="32"/>
  <c r="B40" i="32"/>
  <c r="AM39" i="32"/>
  <c r="AN39" i="32" s="1"/>
  <c r="Z39" i="32"/>
  <c r="AB39" i="32" s="1"/>
  <c r="AC39" i="32" s="1"/>
  <c r="O39" i="32"/>
  <c r="S39" i="32" s="1"/>
  <c r="I39" i="32"/>
  <c r="J39" i="32" s="1"/>
  <c r="C39" i="32"/>
  <c r="B39" i="32"/>
  <c r="AM38" i="32"/>
  <c r="AN38" i="32" s="1"/>
  <c r="Z38" i="32"/>
  <c r="AB38" i="32" s="1"/>
  <c r="O38" i="32"/>
  <c r="S38" i="32" s="1"/>
  <c r="I38" i="32"/>
  <c r="J38" i="32" s="1"/>
  <c r="C38" i="32"/>
  <c r="B38" i="32"/>
  <c r="AM37" i="32"/>
  <c r="AN37" i="32" s="1"/>
  <c r="Z37" i="32"/>
  <c r="AJ37" i="32" s="1"/>
  <c r="O37" i="32"/>
  <c r="S37" i="32" s="1"/>
  <c r="I37" i="32"/>
  <c r="J37" i="32" s="1"/>
  <c r="C37" i="32"/>
  <c r="B37" i="32"/>
  <c r="AM35" i="32"/>
  <c r="AN35" i="32" s="1"/>
  <c r="Z35" i="32"/>
  <c r="AB35" i="32" s="1"/>
  <c r="O35" i="32"/>
  <c r="S35" i="32" s="1"/>
  <c r="I35" i="32"/>
  <c r="J35" i="32" s="1"/>
  <c r="C35" i="32"/>
  <c r="B35" i="32"/>
  <c r="AM34" i="32"/>
  <c r="AN34" i="32" s="1"/>
  <c r="Z34" i="32"/>
  <c r="AJ34" i="32" s="1"/>
  <c r="O34" i="32"/>
  <c r="S34" i="32" s="1"/>
  <c r="I34" i="32"/>
  <c r="J34" i="32" s="1"/>
  <c r="C34" i="32"/>
  <c r="B34" i="32"/>
  <c r="AM33" i="32"/>
  <c r="AN33" i="32" s="1"/>
  <c r="Z33" i="32"/>
  <c r="AJ33" i="32" s="1"/>
  <c r="O33" i="32"/>
  <c r="S33" i="32" s="1"/>
  <c r="I33" i="32"/>
  <c r="J33" i="32" s="1"/>
  <c r="C33" i="32"/>
  <c r="B33" i="32"/>
  <c r="AM32" i="32"/>
  <c r="AN32" i="32" s="1"/>
  <c r="Z32" i="32"/>
  <c r="AF32" i="32" s="1"/>
  <c r="O32" i="32"/>
  <c r="Q32" i="32" s="1"/>
  <c r="I32" i="32"/>
  <c r="J32" i="32" s="1"/>
  <c r="C32" i="32"/>
  <c r="B32" i="32"/>
  <c r="AM30" i="32"/>
  <c r="AN30" i="32" s="1"/>
  <c r="Z30" i="32"/>
  <c r="AB30" i="32" s="1"/>
  <c r="AC30" i="32" s="1"/>
  <c r="O30" i="32"/>
  <c r="S30" i="32" s="1"/>
  <c r="I30" i="32"/>
  <c r="J30" i="32" s="1"/>
  <c r="C30" i="32"/>
  <c r="B30" i="32"/>
  <c r="AM29" i="32"/>
  <c r="AN29" i="32" s="1"/>
  <c r="Z29" i="32"/>
  <c r="AB29" i="32" s="1"/>
  <c r="O29" i="32"/>
  <c r="S29" i="32" s="1"/>
  <c r="I29" i="32"/>
  <c r="J29" i="32" s="1"/>
  <c r="C29" i="32"/>
  <c r="B29" i="32"/>
  <c r="AM28" i="32"/>
  <c r="AN28" i="32" s="1"/>
  <c r="Z28" i="32"/>
  <c r="AB28" i="32" s="1"/>
  <c r="AC28" i="32" s="1"/>
  <c r="O28" i="32"/>
  <c r="S28" i="32" s="1"/>
  <c r="I28" i="32"/>
  <c r="J28" i="32" s="1"/>
  <c r="C28" i="32"/>
  <c r="B28" i="32"/>
  <c r="AM27" i="32"/>
  <c r="AN27" i="32" s="1"/>
  <c r="Z27" i="32"/>
  <c r="AF27" i="32" s="1"/>
  <c r="O27" i="32"/>
  <c r="Q27" i="32" s="1"/>
  <c r="I27" i="32"/>
  <c r="J27" i="32" s="1"/>
  <c r="C27" i="32"/>
  <c r="B27" i="32"/>
  <c r="AM25" i="32"/>
  <c r="AN25" i="32" s="1"/>
  <c r="Z25" i="32"/>
  <c r="AB25" i="32" s="1"/>
  <c r="O25" i="32"/>
  <c r="Q25" i="32" s="1"/>
  <c r="I25" i="32"/>
  <c r="J25" i="32" s="1"/>
  <c r="C25" i="32"/>
  <c r="B25" i="32"/>
  <c r="AM24" i="32"/>
  <c r="AN24" i="32" s="1"/>
  <c r="Z24" i="32"/>
  <c r="O24" i="32"/>
  <c r="Q24" i="32" s="1"/>
  <c r="I24" i="32"/>
  <c r="J24" i="32" s="1"/>
  <c r="C24" i="32"/>
  <c r="B24" i="32"/>
  <c r="AM23" i="32"/>
  <c r="AN23" i="32" s="1"/>
  <c r="Z23" i="32"/>
  <c r="AF23" i="32" s="1"/>
  <c r="O23" i="32"/>
  <c r="S23" i="32" s="1"/>
  <c r="I23" i="32"/>
  <c r="J23" i="32" s="1"/>
  <c r="C23" i="32"/>
  <c r="B23" i="32"/>
  <c r="AM22" i="32"/>
  <c r="AN22" i="32" s="1"/>
  <c r="Z22" i="32"/>
  <c r="AB22" i="32" s="1"/>
  <c r="AC22" i="32" s="1"/>
  <c r="O22" i="32"/>
  <c r="S22" i="32" s="1"/>
  <c r="I22" i="32"/>
  <c r="J22" i="32" s="1"/>
  <c r="C22" i="32"/>
  <c r="B22" i="32"/>
  <c r="AM20" i="32"/>
  <c r="AN20" i="32" s="1"/>
  <c r="Z20" i="32"/>
  <c r="AJ20" i="32" s="1"/>
  <c r="O20" i="32"/>
  <c r="S20" i="32" s="1"/>
  <c r="I20" i="32"/>
  <c r="J20" i="32" s="1"/>
  <c r="C20" i="32"/>
  <c r="B20" i="32"/>
  <c r="AM19" i="32"/>
  <c r="AN19" i="32" s="1"/>
  <c r="Z19" i="32"/>
  <c r="O19" i="32"/>
  <c r="S19" i="32" s="1"/>
  <c r="I19" i="32"/>
  <c r="J19" i="32" s="1"/>
  <c r="C19" i="32"/>
  <c r="B19" i="32"/>
  <c r="AM18" i="32"/>
  <c r="AN18" i="32" s="1"/>
  <c r="Z18" i="32"/>
  <c r="AF18" i="32" s="1"/>
  <c r="O18" i="32"/>
  <c r="S18" i="32" s="1"/>
  <c r="I18" i="32"/>
  <c r="J18" i="32" s="1"/>
  <c r="C18" i="32"/>
  <c r="B18" i="32"/>
  <c r="AM17" i="32"/>
  <c r="AN17" i="32" s="1"/>
  <c r="Z17" i="32"/>
  <c r="AB17" i="32" s="1"/>
  <c r="O17" i="32"/>
  <c r="S17" i="32" s="1"/>
  <c r="I17" i="32"/>
  <c r="J17" i="32" s="1"/>
  <c r="C17" i="32"/>
  <c r="B17" i="32"/>
  <c r="AM15" i="32"/>
  <c r="AN15" i="32" s="1"/>
  <c r="Z15" i="32"/>
  <c r="AJ15" i="32" s="1"/>
  <c r="O15" i="32"/>
  <c r="Q15" i="32" s="1"/>
  <c r="I15" i="32"/>
  <c r="J15" i="32" s="1"/>
  <c r="C15" i="32"/>
  <c r="B15" i="32"/>
  <c r="AM14" i="32"/>
  <c r="AN14" i="32" s="1"/>
  <c r="Z14" i="32"/>
  <c r="AF14" i="32" s="1"/>
  <c r="O14" i="32"/>
  <c r="S14" i="32" s="1"/>
  <c r="I14" i="32"/>
  <c r="J14" i="32" s="1"/>
  <c r="C14" i="32"/>
  <c r="B14" i="32"/>
  <c r="AM13" i="32"/>
  <c r="AN13" i="32" s="1"/>
  <c r="Z13" i="32"/>
  <c r="AB13" i="32" s="1"/>
  <c r="AC13" i="32" s="1"/>
  <c r="O13" i="32"/>
  <c r="S13" i="32" s="1"/>
  <c r="I13" i="32"/>
  <c r="J13" i="32" s="1"/>
  <c r="C13" i="32"/>
  <c r="B13" i="32"/>
  <c r="AM12" i="32"/>
  <c r="AN12" i="32" s="1"/>
  <c r="Z12" i="32"/>
  <c r="AB12" i="32" s="1"/>
  <c r="AC12" i="32" s="1"/>
  <c r="O12" i="32"/>
  <c r="S12" i="32" s="1"/>
  <c r="I12" i="32"/>
  <c r="J12" i="32" s="1"/>
  <c r="C12" i="32"/>
  <c r="B12" i="32"/>
  <c r="AM10" i="32"/>
  <c r="AN10" i="32" s="1"/>
  <c r="Z10" i="32"/>
  <c r="AF10" i="32" s="1"/>
  <c r="O10" i="32"/>
  <c r="Q10" i="32" s="1"/>
  <c r="I10" i="32"/>
  <c r="J10" i="32" s="1"/>
  <c r="C10" i="32"/>
  <c r="B10" i="32"/>
  <c r="AM9" i="32"/>
  <c r="AN9" i="32" s="1"/>
  <c r="Z9" i="32"/>
  <c r="AF9" i="32" s="1"/>
  <c r="O9" i="32"/>
  <c r="Q9" i="32" s="1"/>
  <c r="I9" i="32"/>
  <c r="J9" i="32" s="1"/>
  <c r="C9" i="32"/>
  <c r="B9" i="32"/>
  <c r="AM8" i="32"/>
  <c r="AN8" i="32" s="1"/>
  <c r="Z8" i="32"/>
  <c r="AB8" i="32" s="1"/>
  <c r="O8" i="32"/>
  <c r="S8" i="32" s="1"/>
  <c r="I8" i="32"/>
  <c r="J8" i="32" s="1"/>
  <c r="C8" i="32"/>
  <c r="B8" i="32"/>
  <c r="AG51" i="31"/>
  <c r="X51" i="31"/>
  <c r="AD51" i="31" s="1"/>
  <c r="M51" i="31"/>
  <c r="Q51" i="31" s="1"/>
  <c r="I51" i="31"/>
  <c r="C51" i="31"/>
  <c r="B51" i="31"/>
  <c r="AI51" i="31" s="1" a="1"/>
  <c r="AI51" i="31" s="1"/>
  <c r="AF51" i="31" s="1"/>
  <c r="AG50" i="31"/>
  <c r="X50" i="31"/>
  <c r="AD50" i="31" s="1"/>
  <c r="M50" i="31"/>
  <c r="Q50" i="31" s="1"/>
  <c r="I50" i="31"/>
  <c r="C50" i="31"/>
  <c r="B50" i="31"/>
  <c r="AI50" i="31" s="1" a="1"/>
  <c r="AI50" i="31" s="1"/>
  <c r="AF50" i="31" s="1"/>
  <c r="AG49" i="31"/>
  <c r="X49" i="31"/>
  <c r="AD49" i="31" s="1"/>
  <c r="M49" i="31"/>
  <c r="Q49" i="31" s="1"/>
  <c r="I49" i="31"/>
  <c r="C49" i="31"/>
  <c r="B49" i="31"/>
  <c r="AG48" i="31"/>
  <c r="X48" i="31"/>
  <c r="M48" i="31"/>
  <c r="Q48" i="31" s="1"/>
  <c r="I48" i="31"/>
  <c r="C48" i="31"/>
  <c r="B48" i="31"/>
  <c r="AG46" i="31"/>
  <c r="X46" i="31"/>
  <c r="M46" i="31"/>
  <c r="I46" i="31"/>
  <c r="C46" i="31"/>
  <c r="B46" i="31"/>
  <c r="AG45" i="31"/>
  <c r="X45" i="31"/>
  <c r="M45" i="31"/>
  <c r="Q45" i="31" s="1"/>
  <c r="I45" i="31"/>
  <c r="C45" i="31"/>
  <c r="B45" i="31"/>
  <c r="AG44" i="31"/>
  <c r="X44" i="31"/>
  <c r="AA44" i="31" s="1"/>
  <c r="M44" i="31"/>
  <c r="O44" i="31" s="1"/>
  <c r="I44" i="31"/>
  <c r="C44" i="31"/>
  <c r="B44" i="31"/>
  <c r="AI44" i="31" s="1" a="1"/>
  <c r="AI44" i="31" s="1"/>
  <c r="AF44" i="31" s="1"/>
  <c r="AQ44" i="31" s="1"/>
  <c r="AG43" i="31"/>
  <c r="X43" i="31"/>
  <c r="AD43" i="31" s="1"/>
  <c r="M43" i="31"/>
  <c r="I43" i="31"/>
  <c r="C43" i="31"/>
  <c r="B43" i="31"/>
  <c r="AG41" i="31"/>
  <c r="X41" i="31"/>
  <c r="Z41" i="31" s="1"/>
  <c r="M41" i="31"/>
  <c r="Q41" i="31" s="1"/>
  <c r="I41" i="31"/>
  <c r="C41" i="31"/>
  <c r="B41" i="31"/>
  <c r="AI41" i="31" s="1" a="1"/>
  <c r="AI41" i="31" s="1"/>
  <c r="AF41" i="31" s="1"/>
  <c r="AG40" i="31"/>
  <c r="X40" i="31"/>
  <c r="M40" i="31"/>
  <c r="Q40" i="31" s="1"/>
  <c r="I40" i="31"/>
  <c r="C40" i="31"/>
  <c r="B40" i="31"/>
  <c r="AI40" i="31" s="1" a="1"/>
  <c r="AI40" i="31" s="1"/>
  <c r="AF40" i="31" s="1"/>
  <c r="AQ40" i="31" s="1"/>
  <c r="AG39" i="31"/>
  <c r="X39" i="31"/>
  <c r="M39" i="31"/>
  <c r="Q39" i="31" s="1"/>
  <c r="I39" i="31"/>
  <c r="C39" i="31"/>
  <c r="B39" i="31"/>
  <c r="AI39" i="31" s="1" a="1"/>
  <c r="AI39" i="31" s="1"/>
  <c r="AF39" i="31" s="1"/>
  <c r="AG38" i="31"/>
  <c r="X38" i="31"/>
  <c r="AD38" i="31" s="1"/>
  <c r="M38" i="31"/>
  <c r="Q38" i="31" s="1"/>
  <c r="I38" i="31"/>
  <c r="C38" i="31"/>
  <c r="B38" i="31"/>
  <c r="AG36" i="31"/>
  <c r="X36" i="31"/>
  <c r="AA36" i="31" s="1"/>
  <c r="M36" i="31"/>
  <c r="I36" i="31"/>
  <c r="C36" i="31"/>
  <c r="B36" i="31"/>
  <c r="AG35" i="31"/>
  <c r="X35" i="31"/>
  <c r="AC35" i="31" s="1"/>
  <c r="M35" i="31"/>
  <c r="Q35" i="31" s="1"/>
  <c r="I35" i="31"/>
  <c r="C35" i="31"/>
  <c r="B35" i="31"/>
  <c r="AG34" i="31"/>
  <c r="X34" i="31"/>
  <c r="M34" i="31"/>
  <c r="Q34" i="31" s="1"/>
  <c r="I34" i="31"/>
  <c r="C34" i="31"/>
  <c r="B34" i="31"/>
  <c r="AG33" i="31"/>
  <c r="X33" i="31"/>
  <c r="AD33" i="31" s="1"/>
  <c r="M33" i="31"/>
  <c r="Q33" i="31" s="1"/>
  <c r="I33" i="31"/>
  <c r="C33" i="31"/>
  <c r="B33" i="31"/>
  <c r="AI33" i="31" s="1" a="1"/>
  <c r="AI33" i="31" s="1"/>
  <c r="AF33" i="31" s="1"/>
  <c r="AG31" i="31"/>
  <c r="X31" i="31"/>
  <c r="AA31" i="31" s="1"/>
  <c r="M31" i="31"/>
  <c r="O31" i="31" s="1"/>
  <c r="I31" i="31"/>
  <c r="C31" i="31"/>
  <c r="B31" i="31"/>
  <c r="AG30" i="31"/>
  <c r="X30" i="31"/>
  <c r="AC30" i="31" s="1"/>
  <c r="M30" i="31"/>
  <c r="Q30" i="31" s="1"/>
  <c r="I30" i="31"/>
  <c r="C30" i="31"/>
  <c r="B30" i="31"/>
  <c r="AG29" i="31"/>
  <c r="X29" i="31"/>
  <c r="M29" i="31"/>
  <c r="Q29" i="31" s="1"/>
  <c r="I29" i="31"/>
  <c r="C29" i="31"/>
  <c r="B29" i="31"/>
  <c r="AG28" i="31"/>
  <c r="X28" i="31"/>
  <c r="M28" i="31"/>
  <c r="Q28" i="31" s="1"/>
  <c r="I28" i="31"/>
  <c r="C28" i="31"/>
  <c r="B28" i="31"/>
  <c r="AG26" i="31"/>
  <c r="X26" i="31"/>
  <c r="AA26" i="31" s="1"/>
  <c r="M26" i="31"/>
  <c r="Q26" i="31" s="1"/>
  <c r="I26" i="31"/>
  <c r="C26" i="31"/>
  <c r="B26" i="31"/>
  <c r="AG25" i="31"/>
  <c r="X25" i="31"/>
  <c r="AC25" i="31" s="1"/>
  <c r="M25" i="31"/>
  <c r="I25" i="31"/>
  <c r="C25" i="31"/>
  <c r="B25" i="31"/>
  <c r="AI25" i="31" s="1" a="1"/>
  <c r="AI25" i="31" s="1"/>
  <c r="AF25" i="31" s="1"/>
  <c r="AG24" i="31"/>
  <c r="X24" i="31"/>
  <c r="AA24" i="31" s="1"/>
  <c r="M24" i="31"/>
  <c r="Q24" i="31" s="1"/>
  <c r="I24" i="31"/>
  <c r="C24" i="31"/>
  <c r="B24" i="31"/>
  <c r="AI24" i="31" s="1" a="1"/>
  <c r="AI24" i="31" s="1"/>
  <c r="AF24" i="31" s="1"/>
  <c r="AP24" i="31" s="1"/>
  <c r="AG23" i="31"/>
  <c r="X23" i="31"/>
  <c r="AD23" i="31" s="1"/>
  <c r="M23" i="31"/>
  <c r="O23" i="31" s="1"/>
  <c r="I23" i="31"/>
  <c r="C23" i="31"/>
  <c r="B23" i="31"/>
  <c r="AG21" i="31"/>
  <c r="X21" i="31"/>
  <c r="AA21" i="31" s="1"/>
  <c r="M21" i="31"/>
  <c r="I21" i="31"/>
  <c r="C21" i="31"/>
  <c r="B21" i="31"/>
  <c r="AG20" i="31"/>
  <c r="X20" i="31"/>
  <c r="AD20" i="31" s="1"/>
  <c r="M20" i="31"/>
  <c r="Q20" i="31" s="1"/>
  <c r="I20" i="31"/>
  <c r="C20" i="31"/>
  <c r="B20" i="31"/>
  <c r="AG19" i="31"/>
  <c r="X19" i="31"/>
  <c r="AD19" i="31" s="1"/>
  <c r="M19" i="31"/>
  <c r="Q19" i="31" s="1"/>
  <c r="I19" i="31"/>
  <c r="C19" i="31"/>
  <c r="B19" i="31"/>
  <c r="AG18" i="31"/>
  <c r="X18" i="31"/>
  <c r="AD18" i="31" s="1"/>
  <c r="M18" i="31"/>
  <c r="Q18" i="31" s="1"/>
  <c r="I18" i="31"/>
  <c r="C18" i="31"/>
  <c r="B18" i="31"/>
  <c r="AG16" i="31"/>
  <c r="X16" i="31"/>
  <c r="AC16" i="31" s="1"/>
  <c r="M16" i="31"/>
  <c r="Q16" i="31" s="1"/>
  <c r="I16" i="31"/>
  <c r="C16" i="31"/>
  <c r="B16" i="31"/>
  <c r="AG15" i="31"/>
  <c r="X15" i="31"/>
  <c r="AD15" i="31" s="1"/>
  <c r="M15" i="31"/>
  <c r="O15" i="31" s="1"/>
  <c r="I15" i="31"/>
  <c r="C15" i="31"/>
  <c r="B15" i="31"/>
  <c r="AI15" i="31" s="1" a="1"/>
  <c r="AI15" i="31" s="1"/>
  <c r="AF15" i="31" s="1"/>
  <c r="AG14" i="31"/>
  <c r="X14" i="31"/>
  <c r="AD14" i="31" s="1"/>
  <c r="M14" i="31"/>
  <c r="O14" i="31" s="1"/>
  <c r="I14" i="31"/>
  <c r="C14" i="31"/>
  <c r="B14" i="31"/>
  <c r="AI14" i="31" s="1" a="1"/>
  <c r="AI14" i="31" s="1"/>
  <c r="AF14" i="31" s="1"/>
  <c r="AM14" i="31" s="1"/>
  <c r="AG13" i="31"/>
  <c r="X13" i="31"/>
  <c r="AA13" i="31" s="1"/>
  <c r="M13" i="31"/>
  <c r="Q13" i="31" s="1"/>
  <c r="I13" i="31"/>
  <c r="C13" i="31"/>
  <c r="B13" i="31"/>
  <c r="AG11" i="31"/>
  <c r="X11" i="31"/>
  <c r="AA11" i="31" s="1"/>
  <c r="M11" i="31"/>
  <c r="Q11" i="31" s="1"/>
  <c r="I11" i="31"/>
  <c r="C11" i="31"/>
  <c r="B11" i="31"/>
  <c r="AI11" i="31" s="1" a="1"/>
  <c r="AI11" i="31" s="1"/>
  <c r="AF11" i="31" s="1"/>
  <c r="AG10" i="31"/>
  <c r="X10" i="31"/>
  <c r="M10" i="31"/>
  <c r="Q10" i="31" s="1"/>
  <c r="I10" i="31"/>
  <c r="C10" i="31"/>
  <c r="B10" i="31"/>
  <c r="AI10" i="31" s="1" a="1"/>
  <c r="AI10" i="31" s="1"/>
  <c r="AF10" i="31" s="1"/>
  <c r="AP10" i="31" s="1"/>
  <c r="AG9" i="31"/>
  <c r="X9" i="31"/>
  <c r="AA9" i="31" s="1"/>
  <c r="I9" i="31"/>
  <c r="C9" i="31"/>
  <c r="B9" i="31"/>
  <c r="C9" i="30"/>
  <c r="A9" i="30" s="1"/>
  <c r="A10" i="30"/>
  <c r="B10" i="30"/>
  <c r="C10" i="30"/>
  <c r="A11" i="30"/>
  <c r="B11" i="30"/>
  <c r="C11" i="30"/>
  <c r="A12" i="30"/>
  <c r="B12" i="30"/>
  <c r="C12" i="30"/>
  <c r="A13" i="30"/>
  <c r="B13" i="30"/>
  <c r="C13" i="30"/>
  <c r="A14" i="30"/>
  <c r="B14" i="30"/>
  <c r="C14" i="30"/>
  <c r="A15" i="30"/>
  <c r="B15" i="30"/>
  <c r="C15" i="30"/>
  <c r="A16" i="30"/>
  <c r="B16" i="30"/>
  <c r="C16" i="30"/>
  <c r="A17" i="30"/>
  <c r="B17" i="30"/>
  <c r="C17" i="30"/>
  <c r="A18" i="30"/>
  <c r="B18" i="30"/>
  <c r="C18" i="30"/>
  <c r="A19" i="30"/>
  <c r="B19" i="30"/>
  <c r="C19" i="30"/>
  <c r="A20" i="30"/>
  <c r="B20" i="30"/>
  <c r="C20" i="30"/>
  <c r="A21" i="30"/>
  <c r="B21" i="30"/>
  <c r="C21" i="30"/>
  <c r="A22" i="30"/>
  <c r="B22" i="30"/>
  <c r="C22" i="30"/>
  <c r="AU22" i="30"/>
  <c r="AV22" i="30" s="1"/>
  <c r="AT22" i="30"/>
  <c r="AP22" i="30"/>
  <c r="AQ22" i="30" s="1"/>
  <c r="AK22" i="30"/>
  <c r="AJ22" i="30"/>
  <c r="AI22" i="30"/>
  <c r="AH22" i="30"/>
  <c r="AE22" i="30"/>
  <c r="AD22" i="30"/>
  <c r="AC22" i="30"/>
  <c r="AB22" i="30"/>
  <c r="O22" i="30"/>
  <c r="S22" i="30" s="1"/>
  <c r="I22" i="30"/>
  <c r="J22" i="30" s="1"/>
  <c r="AU21" i="30"/>
  <c r="AV21" i="30" s="1"/>
  <c r="AT21" i="30"/>
  <c r="AP21" i="30"/>
  <c r="AQ21" i="30" s="1"/>
  <c r="AK21" i="30"/>
  <c r="AJ21" i="30"/>
  <c r="AI21" i="30"/>
  <c r="AH21" i="30"/>
  <c r="AE21" i="30"/>
  <c r="AD21" i="30"/>
  <c r="AC21" i="30"/>
  <c r="AB21" i="30"/>
  <c r="O21" i="30"/>
  <c r="S21" i="30" s="1"/>
  <c r="I21" i="30"/>
  <c r="J21" i="30" s="1"/>
  <c r="AU20" i="30"/>
  <c r="AV20" i="30" s="1"/>
  <c r="AT20" i="30"/>
  <c r="AP20" i="30"/>
  <c r="AQ20" i="30" s="1"/>
  <c r="AO20" i="30"/>
  <c r="AK20" i="30"/>
  <c r="AJ20" i="30"/>
  <c r="AI20" i="30"/>
  <c r="AH20" i="30"/>
  <c r="AE20" i="30"/>
  <c r="AD20" i="30"/>
  <c r="AC20" i="30"/>
  <c r="AB20" i="30"/>
  <c r="O20" i="30"/>
  <c r="S20" i="30" s="1"/>
  <c r="I20" i="30"/>
  <c r="J20" i="30" s="1"/>
  <c r="AU19" i="30"/>
  <c r="AV19" i="30" s="1"/>
  <c r="AT19" i="30"/>
  <c r="AP19" i="30"/>
  <c r="AQ19" i="30" s="1"/>
  <c r="AK19" i="30"/>
  <c r="AJ19" i="30"/>
  <c r="AI19" i="30"/>
  <c r="AH19" i="30"/>
  <c r="AE19" i="30"/>
  <c r="AD19" i="30"/>
  <c r="AC19" i="30"/>
  <c r="AB19" i="30"/>
  <c r="O19" i="30"/>
  <c r="S19" i="30" s="1"/>
  <c r="I19" i="30"/>
  <c r="J19" i="30" s="1"/>
  <c r="AU18" i="30"/>
  <c r="AV18" i="30" s="1"/>
  <c r="AT18" i="30"/>
  <c r="AP18" i="30"/>
  <c r="AQ18" i="30" s="1"/>
  <c r="AK18" i="30"/>
  <c r="AJ18" i="30"/>
  <c r="AI18" i="30"/>
  <c r="AH18" i="30"/>
  <c r="AE18" i="30"/>
  <c r="AD18" i="30"/>
  <c r="AC18" i="30"/>
  <c r="AB18" i="30"/>
  <c r="O18" i="30"/>
  <c r="Q18" i="30" s="1"/>
  <c r="I18" i="30"/>
  <c r="J18" i="30" s="1"/>
  <c r="AU17" i="30"/>
  <c r="AV17" i="30" s="1"/>
  <c r="AT17" i="30"/>
  <c r="AP17" i="30"/>
  <c r="AQ17" i="30" s="1"/>
  <c r="AO17" i="30"/>
  <c r="AK17" i="30"/>
  <c r="AJ17" i="30"/>
  <c r="AI17" i="30"/>
  <c r="AH17" i="30"/>
  <c r="AE17" i="30"/>
  <c r="AD17" i="30"/>
  <c r="AC17" i="30"/>
  <c r="AB17" i="30"/>
  <c r="O17" i="30"/>
  <c r="S17" i="30" s="1"/>
  <c r="I17" i="30"/>
  <c r="J17" i="30" s="1"/>
  <c r="AU16" i="30"/>
  <c r="AV16" i="30" s="1"/>
  <c r="AT16" i="30"/>
  <c r="AP16" i="30"/>
  <c r="AQ16" i="30" s="1"/>
  <c r="AK16" i="30"/>
  <c r="AJ16" i="30"/>
  <c r="AI16" i="30"/>
  <c r="AH16" i="30"/>
  <c r="AE16" i="30"/>
  <c r="AD16" i="30"/>
  <c r="AC16" i="30"/>
  <c r="AB16" i="30"/>
  <c r="O16" i="30"/>
  <c r="Q16" i="30" s="1"/>
  <c r="I16" i="30"/>
  <c r="J16" i="30" s="1"/>
  <c r="AU15" i="30"/>
  <c r="AV15" i="30" s="1"/>
  <c r="AT15" i="30"/>
  <c r="AP15" i="30"/>
  <c r="AK15" i="30"/>
  <c r="AJ15" i="30"/>
  <c r="AI15" i="30"/>
  <c r="AH15" i="30"/>
  <c r="AE15" i="30"/>
  <c r="AD15" i="30"/>
  <c r="AC15" i="30"/>
  <c r="AB15" i="30"/>
  <c r="O15" i="30"/>
  <c r="S15" i="30" s="1"/>
  <c r="I15" i="30"/>
  <c r="J15" i="30" s="1"/>
  <c r="AU14" i="30"/>
  <c r="AV14" i="30" s="1"/>
  <c r="AT14" i="30"/>
  <c r="AP14" i="30"/>
  <c r="AO14" i="30" s="1"/>
  <c r="AK14" i="30"/>
  <c r="AJ14" i="30"/>
  <c r="AI14" i="30"/>
  <c r="AH14" i="30"/>
  <c r="AE14" i="30"/>
  <c r="AD14" i="30"/>
  <c r="AC14" i="30"/>
  <c r="AB14" i="30"/>
  <c r="O14" i="30"/>
  <c r="I14" i="30"/>
  <c r="J14" i="30" s="1"/>
  <c r="AU13" i="30"/>
  <c r="AV13" i="30" s="1"/>
  <c r="AT13" i="30"/>
  <c r="AP13" i="30"/>
  <c r="AQ13" i="30" s="1"/>
  <c r="AK13" i="30"/>
  <c r="AJ13" i="30"/>
  <c r="AI13" i="30"/>
  <c r="AH13" i="30"/>
  <c r="AE13" i="30"/>
  <c r="AD13" i="30"/>
  <c r="AC13" i="30"/>
  <c r="AB13" i="30"/>
  <c r="O13" i="30"/>
  <c r="Q13" i="30" s="1"/>
  <c r="I13" i="30"/>
  <c r="J13" i="30" s="1"/>
  <c r="AU12" i="30"/>
  <c r="AV12" i="30" s="1"/>
  <c r="AT12" i="30"/>
  <c r="AP12" i="30"/>
  <c r="AO12" i="30" s="1"/>
  <c r="AK12" i="30"/>
  <c r="AJ12" i="30"/>
  <c r="AI12" i="30"/>
  <c r="AH12" i="30"/>
  <c r="AE12" i="30"/>
  <c r="AD12" i="30"/>
  <c r="AC12" i="30"/>
  <c r="AB12" i="30"/>
  <c r="O12" i="30"/>
  <c r="S12" i="30" s="1"/>
  <c r="I12" i="30"/>
  <c r="J12" i="30" s="1"/>
  <c r="AU11" i="30"/>
  <c r="AV11" i="30" s="1"/>
  <c r="AT11" i="30"/>
  <c r="AP11" i="30"/>
  <c r="AQ11" i="30" s="1"/>
  <c r="AK11" i="30"/>
  <c r="AJ11" i="30"/>
  <c r="AI11" i="30"/>
  <c r="AH11" i="30"/>
  <c r="AE11" i="30"/>
  <c r="AD11" i="30"/>
  <c r="AC11" i="30"/>
  <c r="AB11" i="30"/>
  <c r="O11" i="30"/>
  <c r="S11" i="30" s="1"/>
  <c r="I11" i="30"/>
  <c r="J11" i="30" s="1"/>
  <c r="AU10" i="30"/>
  <c r="AV10" i="30" s="1"/>
  <c r="AT10" i="30"/>
  <c r="AP10" i="30"/>
  <c r="AQ10" i="30" s="1"/>
  <c r="AK10" i="30"/>
  <c r="AJ10" i="30"/>
  <c r="AI10" i="30"/>
  <c r="AH10" i="30"/>
  <c r="AE10" i="30"/>
  <c r="AD10" i="30"/>
  <c r="AC10" i="30"/>
  <c r="AB10" i="30"/>
  <c r="O10" i="30"/>
  <c r="S10" i="30" s="1"/>
  <c r="I10" i="30"/>
  <c r="J10" i="30" s="1"/>
  <c r="AU9" i="30"/>
  <c r="AV9" i="30" s="1"/>
  <c r="AT9" i="30"/>
  <c r="AP9" i="30"/>
  <c r="AO9" i="30" s="1"/>
  <c r="AK9" i="30"/>
  <c r="AJ9" i="30"/>
  <c r="AI9" i="30"/>
  <c r="AH9" i="30"/>
  <c r="AE9" i="30"/>
  <c r="AD9" i="30"/>
  <c r="O9" i="30"/>
  <c r="I9" i="30"/>
  <c r="J9" i="30" s="1"/>
  <c r="AU8" i="30"/>
  <c r="AV8" i="30" s="1"/>
  <c r="AT8" i="30"/>
  <c r="AP8" i="30"/>
  <c r="AK8" i="30"/>
  <c r="AJ8" i="30"/>
  <c r="AI8" i="30"/>
  <c r="AH8" i="30"/>
  <c r="AE8" i="30"/>
  <c r="AD8" i="30"/>
  <c r="AC8" i="30" s="1"/>
  <c r="O8" i="30"/>
  <c r="S8" i="30" s="1"/>
  <c r="I8" i="30"/>
  <c r="J8" i="30" s="1"/>
  <c r="AC9" i="30" l="1"/>
  <c r="B9" i="30"/>
  <c r="AO11" i="30"/>
  <c r="AI35" i="31" a="1"/>
  <c r="AI35" i="31" s="1"/>
  <c r="AF35" i="31" s="1"/>
  <c r="AI13" i="31" a="1"/>
  <c r="AI13" i="31" s="1"/>
  <c r="AF13" i="31" s="1"/>
  <c r="AM13" i="31" s="1"/>
  <c r="AI31" i="31" a="1"/>
  <c r="AI31" i="31" s="1"/>
  <c r="AF31" i="31" s="1"/>
  <c r="AI38" i="31" a="1"/>
  <c r="AI38" i="31" s="1"/>
  <c r="AF38" i="31" s="1"/>
  <c r="AO19" i="30"/>
  <c r="L38" i="3"/>
  <c r="AI19" i="31" a="1"/>
  <c r="AI19" i="31" s="1"/>
  <c r="AF19" i="31" s="1"/>
  <c r="AI21" i="31" a="1"/>
  <c r="AI21" i="31" s="1"/>
  <c r="AF21" i="31" s="1"/>
  <c r="P11" i="46"/>
  <c r="E38" i="3"/>
  <c r="M38" i="3"/>
  <c r="F38" i="3"/>
  <c r="S15" i="47"/>
  <c r="T15" i="47" s="1"/>
  <c r="S9" i="47"/>
  <c r="T9" i="47" s="1"/>
  <c r="Q13" i="47"/>
  <c r="T13" i="47" s="1"/>
  <c r="Q10" i="47"/>
  <c r="T10" i="47" s="1"/>
  <c r="Q14" i="47"/>
  <c r="T14" i="47" s="1"/>
  <c r="Q8" i="47"/>
  <c r="T8" i="47" s="1"/>
  <c r="Q12" i="47"/>
  <c r="T12" i="47" s="1"/>
  <c r="N9" i="46"/>
  <c r="R9" i="46" s="1"/>
  <c r="S11" i="46"/>
  <c r="P14" i="46"/>
  <c r="S14" i="46" s="1"/>
  <c r="P10" i="46"/>
  <c r="S10" i="46" s="1"/>
  <c r="P13" i="46"/>
  <c r="S13" i="46" s="1"/>
  <c r="P16" i="46"/>
  <c r="S16" i="46" s="1"/>
  <c r="P15" i="46"/>
  <c r="S15" i="46" s="1"/>
  <c r="AF17" i="32"/>
  <c r="AG17" i="32" s="1"/>
  <c r="AH17" i="32" s="1"/>
  <c r="AJ38" i="32"/>
  <c r="AK38" i="32" s="1"/>
  <c r="AF28" i="32"/>
  <c r="AG28" i="32" s="1"/>
  <c r="AF39" i="32"/>
  <c r="AG39" i="32" s="1"/>
  <c r="AH39" i="32" s="1"/>
  <c r="AF44" i="32"/>
  <c r="AF38" i="32"/>
  <c r="AJ44" i="32"/>
  <c r="AL44" i="32" s="1"/>
  <c r="AJ28" i="32"/>
  <c r="AL28" i="32" s="1"/>
  <c r="AJ25" i="32"/>
  <c r="AK25" i="32" s="1"/>
  <c r="AJ39" i="32"/>
  <c r="AL39" i="32" s="1"/>
  <c r="AJ17" i="32"/>
  <c r="AL17" i="32" s="1"/>
  <c r="S10" i="32"/>
  <c r="T10" i="32" s="1"/>
  <c r="AF48" i="32"/>
  <c r="AG48" i="32" s="1"/>
  <c r="AH48" i="32" s="1"/>
  <c r="AJ48" i="32"/>
  <c r="AL48" i="32" s="1"/>
  <c r="AF13" i="32"/>
  <c r="AG13" i="32" s="1"/>
  <c r="AH13" i="32" s="1"/>
  <c r="AJ13" i="32"/>
  <c r="AK13" i="32" s="1"/>
  <c r="S32" i="32"/>
  <c r="T32" i="32" s="1"/>
  <c r="S27" i="32"/>
  <c r="T27" i="32" s="1"/>
  <c r="AF12" i="32"/>
  <c r="AF30" i="32"/>
  <c r="AG30" i="32" s="1"/>
  <c r="AH30" i="32" s="1"/>
  <c r="AJ12" i="32"/>
  <c r="AK12" i="32" s="1"/>
  <c r="AJ30" i="32"/>
  <c r="AK30" i="32" s="1"/>
  <c r="AF33" i="32"/>
  <c r="AG33" i="32" s="1"/>
  <c r="AH33" i="32" s="1"/>
  <c r="AJ9" i="32"/>
  <c r="AL9" i="32" s="1"/>
  <c r="AF22" i="32"/>
  <c r="AG22" i="32" s="1"/>
  <c r="AJ22" i="32"/>
  <c r="AK22" i="32" s="1"/>
  <c r="AF25" i="32"/>
  <c r="AG25" i="32" s="1"/>
  <c r="AG10" i="32"/>
  <c r="AH10" i="32" s="1"/>
  <c r="AC35" i="32"/>
  <c r="AD35" i="32" s="1"/>
  <c r="AC8" i="32"/>
  <c r="AD8" i="32" s="1"/>
  <c r="AL20" i="32"/>
  <c r="AK20" i="32"/>
  <c r="AG9" i="32"/>
  <c r="AH9" i="32" s="1"/>
  <c r="AC25" i="32"/>
  <c r="AD25" i="32" s="1"/>
  <c r="AG27" i="32"/>
  <c r="AH27" i="32" s="1"/>
  <c r="AC43" i="32"/>
  <c r="AD43" i="32" s="1"/>
  <c r="AK37" i="32"/>
  <c r="AL37" i="32"/>
  <c r="AC38" i="32"/>
  <c r="AD38" i="32" s="1"/>
  <c r="S24" i="32"/>
  <c r="T24" i="32" s="1"/>
  <c r="Q34" i="32"/>
  <c r="T34" i="32" s="1"/>
  <c r="Q40" i="32"/>
  <c r="T40" i="32" s="1"/>
  <c r="AJ24" i="32"/>
  <c r="AF24" i="32"/>
  <c r="Q18" i="32"/>
  <c r="T18" i="32" s="1"/>
  <c r="AB49" i="32"/>
  <c r="AF20" i="32"/>
  <c r="AF43" i="32"/>
  <c r="Q45" i="32"/>
  <c r="S45" i="32"/>
  <c r="S9" i="32"/>
  <c r="T9" i="32" s="1"/>
  <c r="Q19" i="32"/>
  <c r="T19" i="32" s="1"/>
  <c r="S25" i="32"/>
  <c r="T25" i="32" s="1"/>
  <c r="AL42" i="32"/>
  <c r="AK42" i="32"/>
  <c r="AJ10" i="32"/>
  <c r="AB42" i="32"/>
  <c r="AB9" i="32"/>
  <c r="AJ27" i="32"/>
  <c r="AJ19" i="32"/>
  <c r="AF19" i="32"/>
  <c r="AC29" i="32"/>
  <c r="AD29" i="32" s="1"/>
  <c r="Q22" i="32"/>
  <c r="T22" i="32" s="1"/>
  <c r="S15" i="32"/>
  <c r="T15" i="32" s="1"/>
  <c r="AC44" i="32"/>
  <c r="AD44" i="32" s="1"/>
  <c r="AD22" i="32"/>
  <c r="AG32" i="32"/>
  <c r="AH32" i="32" s="1"/>
  <c r="AG38" i="32"/>
  <c r="AH38" i="32" s="1"/>
  <c r="AG44" i="32"/>
  <c r="AH44" i="32" s="1"/>
  <c r="Q37" i="32"/>
  <c r="T37" i="32" s="1"/>
  <c r="AJ47" i="32"/>
  <c r="AF47" i="32"/>
  <c r="AJ8" i="32"/>
  <c r="AF8" i="32"/>
  <c r="AB47" i="32"/>
  <c r="AF15" i="32"/>
  <c r="AD12" i="32"/>
  <c r="AB24" i="32"/>
  <c r="AB37" i="32"/>
  <c r="AG18" i="32"/>
  <c r="AH18" i="32" s="1"/>
  <c r="AD28" i="32"/>
  <c r="AJ49" i="32"/>
  <c r="AB20" i="32"/>
  <c r="AF37" i="32"/>
  <c r="AH28" i="32"/>
  <c r="AG14" i="32"/>
  <c r="AH14" i="32" s="1"/>
  <c r="AJ14" i="32"/>
  <c r="AB27" i="32"/>
  <c r="AJ43" i="32"/>
  <c r="Q42" i="32"/>
  <c r="T42" i="32" s="1"/>
  <c r="AC17" i="32"/>
  <c r="AD17" i="32" s="1"/>
  <c r="AD48" i="32"/>
  <c r="AF35" i="32"/>
  <c r="AJ35" i="32"/>
  <c r="AB19" i="32"/>
  <c r="AF42" i="32"/>
  <c r="Q8" i="32"/>
  <c r="T8" i="32" s="1"/>
  <c r="AL15" i="32"/>
  <c r="AK15" i="32"/>
  <c r="AB32" i="32"/>
  <c r="AB15" i="32"/>
  <c r="AJ32" i="32"/>
  <c r="AL34" i="32"/>
  <c r="AK34" i="32"/>
  <c r="AG49" i="32"/>
  <c r="AH49" i="32" s="1"/>
  <c r="Q14" i="32"/>
  <c r="T14" i="32" s="1"/>
  <c r="Q30" i="32"/>
  <c r="T30" i="32" s="1"/>
  <c r="AD30" i="32"/>
  <c r="AB10" i="32"/>
  <c r="AB14" i="32"/>
  <c r="Q35" i="32"/>
  <c r="T35" i="32" s="1"/>
  <c r="Q48" i="32"/>
  <c r="T48" i="32" s="1"/>
  <c r="AL45" i="32"/>
  <c r="S50" i="32"/>
  <c r="T50" i="32" s="1"/>
  <c r="AB34" i="32"/>
  <c r="AD13" i="32"/>
  <c r="AB18" i="32"/>
  <c r="AB45" i="32"/>
  <c r="Q23" i="32"/>
  <c r="T23" i="32" s="1"/>
  <c r="Q28" i="32"/>
  <c r="T28" i="32" s="1"/>
  <c r="AF29" i="32"/>
  <c r="Q33" i="32"/>
  <c r="T33" i="32" s="1"/>
  <c r="Q39" i="32"/>
  <c r="T39" i="32" s="1"/>
  <c r="AF45" i="32"/>
  <c r="AG23" i="32"/>
  <c r="AH23" i="32" s="1"/>
  <c r="AJ18" i="32"/>
  <c r="AJ23" i="32"/>
  <c r="AJ29" i="32"/>
  <c r="AL33" i="32"/>
  <c r="AK33" i="32"/>
  <c r="Q43" i="32"/>
  <c r="T43" i="32" s="1"/>
  <c r="Q49" i="32"/>
  <c r="T49" i="32" s="1"/>
  <c r="Q13" i="32"/>
  <c r="T13" i="32" s="1"/>
  <c r="AG40" i="32"/>
  <c r="AH40" i="32" s="1"/>
  <c r="AB40" i="32"/>
  <c r="AJ40" i="32"/>
  <c r="AL50" i="32"/>
  <c r="AK50" i="32"/>
  <c r="Q17" i="32"/>
  <c r="T17" i="32" s="1"/>
  <c r="Q44" i="32"/>
  <c r="T44" i="32" s="1"/>
  <c r="AB50" i="32"/>
  <c r="AF34" i="32"/>
  <c r="AF50" i="32"/>
  <c r="AB23" i="32"/>
  <c r="AD39" i="32"/>
  <c r="AB33" i="32"/>
  <c r="Q12" i="32"/>
  <c r="T12" i="32" s="1"/>
  <c r="Q20" i="32"/>
  <c r="T20" i="32" s="1"/>
  <c r="Q29" i="32"/>
  <c r="T29" i="32" s="1"/>
  <c r="Q38" i="32"/>
  <c r="T38" i="32" s="1"/>
  <c r="Q47" i="32"/>
  <c r="T47" i="32" s="1"/>
  <c r="M9" i="31"/>
  <c r="Q9" i="31" s="1"/>
  <c r="AI9" i="31" a="1"/>
  <c r="AI9" i="31" s="1"/>
  <c r="AF9" i="31" s="1"/>
  <c r="AO9" i="31" s="1"/>
  <c r="AI23" i="31" a="1"/>
  <c r="AI23" i="31" s="1"/>
  <c r="AF23" i="31" s="1"/>
  <c r="AO23" i="31" s="1"/>
  <c r="AI20" i="31" a="1"/>
  <c r="AI20" i="31" s="1"/>
  <c r="AF20" i="31" s="1"/>
  <c r="AI49" i="31" a="1"/>
  <c r="AI49" i="31" s="1"/>
  <c r="AF49" i="31" s="1"/>
  <c r="AO49" i="31" s="1"/>
  <c r="AI26" i="31" a="1"/>
  <c r="AI26" i="31" s="1"/>
  <c r="AF26" i="31" s="1"/>
  <c r="AK26" i="31" s="1"/>
  <c r="AI34" i="31" a="1"/>
  <c r="AI34" i="31" s="1"/>
  <c r="AF34" i="31" s="1"/>
  <c r="AQ34" i="31" s="1"/>
  <c r="AI48" i="31" a="1"/>
  <c r="AI48" i="31" s="1"/>
  <c r="AF48" i="31" s="1"/>
  <c r="AK48" i="31" s="1"/>
  <c r="AK24" i="31"/>
  <c r="AQ24" i="31"/>
  <c r="AI43" i="31" a="1"/>
  <c r="AI43" i="31" s="1"/>
  <c r="AF43" i="31" s="1"/>
  <c r="AO43" i="31" s="1"/>
  <c r="Q15" i="31"/>
  <c r="R15" i="31" s="1"/>
  <c r="AC44" i="31"/>
  <c r="AD44" i="31"/>
  <c r="Z20" i="31"/>
  <c r="AA20" i="31"/>
  <c r="AC20" i="31"/>
  <c r="AC26" i="31"/>
  <c r="AD26" i="31"/>
  <c r="O40" i="31"/>
  <c r="R40" i="31" s="1"/>
  <c r="AI28" i="31" a="1"/>
  <c r="AI28" i="31" s="1"/>
  <c r="AF28" i="31" s="1"/>
  <c r="AL28" i="31" s="1"/>
  <c r="Q31" i="31"/>
  <c r="R31" i="31" s="1"/>
  <c r="AK13" i="31"/>
  <c r="AA25" i="31"/>
  <c r="AD25" i="31"/>
  <c r="Q23" i="31"/>
  <c r="R23" i="31" s="1"/>
  <c r="AI36" i="31" a="1"/>
  <c r="AI36" i="31" s="1"/>
  <c r="AF36" i="31" s="1"/>
  <c r="AM36" i="31" s="1"/>
  <c r="O38" i="31"/>
  <c r="R38" i="31" s="1"/>
  <c r="AD9" i="31"/>
  <c r="AD35" i="31"/>
  <c r="Q44" i="31"/>
  <c r="R44" i="31" s="1"/>
  <c r="Z11" i="31"/>
  <c r="AC9" i="31"/>
  <c r="AC33" i="31"/>
  <c r="AC13" i="31"/>
  <c r="AD13" i="31"/>
  <c r="AD30" i="31"/>
  <c r="Z33" i="31"/>
  <c r="AI45" i="31" a="1"/>
  <c r="AI45" i="31" s="1"/>
  <c r="AF45" i="31" s="1"/>
  <c r="AP45" i="31" s="1"/>
  <c r="AA33" i="31"/>
  <c r="Z13" i="31"/>
  <c r="AI16" i="31" a="1"/>
  <c r="AI16" i="31" s="1"/>
  <c r="AF16" i="31" s="1"/>
  <c r="AM16" i="31" s="1"/>
  <c r="AC21" i="31"/>
  <c r="AD36" i="31"/>
  <c r="AD16" i="31"/>
  <c r="Z43" i="31"/>
  <c r="O45" i="31"/>
  <c r="R45" i="31" s="1"/>
  <c r="AD21" i="31"/>
  <c r="AA43" i="31"/>
  <c r="O51" i="31"/>
  <c r="R51" i="31" s="1"/>
  <c r="AQ10" i="31"/>
  <c r="AC36" i="31"/>
  <c r="AI18" i="31" a="1"/>
  <c r="AI18" i="31" s="1"/>
  <c r="AF18" i="31" s="1"/>
  <c r="AM18" i="31" s="1"/>
  <c r="Z25" i="31"/>
  <c r="AC43" i="31"/>
  <c r="AK44" i="31"/>
  <c r="AI29" i="31" a="1"/>
  <c r="AI29" i="31" s="1"/>
  <c r="AF29" i="31" s="1"/>
  <c r="AK29" i="31" s="1"/>
  <c r="AI46" i="31" a="1"/>
  <c r="AI46" i="31" s="1"/>
  <c r="AF46" i="31" s="1"/>
  <c r="AM46" i="31" s="1"/>
  <c r="AP25" i="31"/>
  <c r="AO25" i="31"/>
  <c r="AM25" i="31"/>
  <c r="AL25" i="31"/>
  <c r="AK25" i="31"/>
  <c r="AQ25" i="31"/>
  <c r="AQ35" i="31"/>
  <c r="AP35" i="31"/>
  <c r="AO35" i="31"/>
  <c r="AM35" i="31"/>
  <c r="AL35" i="31"/>
  <c r="AK35" i="31"/>
  <c r="AO15" i="31"/>
  <c r="AM15" i="31"/>
  <c r="AL15" i="31"/>
  <c r="AK15" i="31"/>
  <c r="AQ15" i="31"/>
  <c r="AP15" i="31"/>
  <c r="AO41" i="31"/>
  <c r="AK41" i="31"/>
  <c r="AM41" i="31"/>
  <c r="AL41" i="31"/>
  <c r="AQ41" i="31"/>
  <c r="AP41" i="31"/>
  <c r="AQ20" i="31"/>
  <c r="AP20" i="31"/>
  <c r="AO20" i="31"/>
  <c r="AM20" i="31"/>
  <c r="AL20" i="31"/>
  <c r="AK20" i="31"/>
  <c r="AQ26" i="31"/>
  <c r="AP26" i="31"/>
  <c r="AO26" i="31"/>
  <c r="AM26" i="31"/>
  <c r="AL26" i="31"/>
  <c r="AO50" i="31"/>
  <c r="AM50" i="31"/>
  <c r="AL50" i="31"/>
  <c r="AK50" i="31"/>
  <c r="AQ50" i="31"/>
  <c r="AP50" i="31"/>
  <c r="AO33" i="31"/>
  <c r="AM33" i="31"/>
  <c r="AL33" i="31"/>
  <c r="AK33" i="31"/>
  <c r="AQ33" i="31"/>
  <c r="AP33" i="31"/>
  <c r="AQ38" i="31"/>
  <c r="AP38" i="31"/>
  <c r="AK38" i="31"/>
  <c r="AO38" i="31"/>
  <c r="AM38" i="31"/>
  <c r="AL38" i="31"/>
  <c r="AQ21" i="31"/>
  <c r="AP21" i="31"/>
  <c r="AO21" i="31"/>
  <c r="AM21" i="31"/>
  <c r="AL21" i="31"/>
  <c r="AK21" i="31"/>
  <c r="AQ39" i="31"/>
  <c r="AM39" i="31"/>
  <c r="AP39" i="31"/>
  <c r="AO39" i="31"/>
  <c r="AL39" i="31"/>
  <c r="AK39" i="31"/>
  <c r="AD40" i="31"/>
  <c r="AC40" i="31"/>
  <c r="AD48" i="31"/>
  <c r="AC48" i="31"/>
  <c r="Z48" i="31"/>
  <c r="AA48" i="31"/>
  <c r="AO11" i="31"/>
  <c r="AM11" i="31"/>
  <c r="AL11" i="31"/>
  <c r="AK11" i="31"/>
  <c r="Z40" i="31"/>
  <c r="AA40" i="31"/>
  <c r="O50" i="31"/>
  <c r="R50" i="31" s="1"/>
  <c r="Z19" i="31"/>
  <c r="O39" i="31"/>
  <c r="R39" i="31" s="1"/>
  <c r="AK40" i="31"/>
  <c r="AL13" i="31"/>
  <c r="AA19" i="31"/>
  <c r="AL31" i="31"/>
  <c r="AK31" i="31"/>
  <c r="AO31" i="31"/>
  <c r="AM31" i="31"/>
  <c r="AL40" i="31"/>
  <c r="AC19" i="31"/>
  <c r="AM40" i="31"/>
  <c r="AL14" i="31"/>
  <c r="AK14" i="31"/>
  <c r="Z15" i="31"/>
  <c r="AD39" i="31"/>
  <c r="AC39" i="31"/>
  <c r="AA39" i="31"/>
  <c r="Z39" i="31"/>
  <c r="AO40" i="31"/>
  <c r="AL44" i="31"/>
  <c r="Q46" i="31"/>
  <c r="O46" i="31"/>
  <c r="R46" i="31" s="1"/>
  <c r="AA15" i="31"/>
  <c r="AO19" i="31"/>
  <c r="AM19" i="31"/>
  <c r="AL19" i="31"/>
  <c r="AK19" i="31"/>
  <c r="AD29" i="31"/>
  <c r="AC29" i="31"/>
  <c r="AP40" i="31"/>
  <c r="AM44" i="31"/>
  <c r="O11" i="31"/>
  <c r="R11" i="31" s="1"/>
  <c r="AC15" i="31"/>
  <c r="Q21" i="31"/>
  <c r="O21" i="31"/>
  <c r="Z29" i="31"/>
  <c r="AO44" i="31"/>
  <c r="O18" i="31"/>
  <c r="R18" i="31" s="1"/>
  <c r="AA29" i="31"/>
  <c r="Z35" i="31"/>
  <c r="AP44" i="31"/>
  <c r="AP19" i="31"/>
  <c r="AA35" i="31"/>
  <c r="AQ51" i="31"/>
  <c r="AP51" i="31"/>
  <c r="AO51" i="31"/>
  <c r="AM51" i="31"/>
  <c r="AL51" i="31"/>
  <c r="AK51" i="31"/>
  <c r="AD11" i="31"/>
  <c r="AC11" i="31"/>
  <c r="AQ19" i="31"/>
  <c r="Z18" i="31"/>
  <c r="AP11" i="31"/>
  <c r="Q14" i="31"/>
  <c r="R14" i="31" s="1"/>
  <c r="AC18" i="31"/>
  <c r="Z49" i="31"/>
  <c r="AQ11" i="31"/>
  <c r="O28" i="31"/>
  <c r="R28" i="31" s="1"/>
  <c r="Z31" i="31"/>
  <c r="O10" i="31"/>
  <c r="R10" i="31" s="1"/>
  <c r="O34" i="31"/>
  <c r="R34" i="31" s="1"/>
  <c r="Z24" i="31"/>
  <c r="AD28" i="31"/>
  <c r="AC28" i="31"/>
  <c r="AA28" i="31"/>
  <c r="Z28" i="31"/>
  <c r="AP31" i="31"/>
  <c r="AO14" i="31"/>
  <c r="AQ31" i="31"/>
  <c r="AA41" i="31"/>
  <c r="AP14" i="31"/>
  <c r="AD34" i="31"/>
  <c r="AC34" i="31"/>
  <c r="AA34" i="31"/>
  <c r="Z34" i="31"/>
  <c r="AC41" i="31"/>
  <c r="AK10" i="31"/>
  <c r="AQ14" i="31"/>
  <c r="O30" i="31"/>
  <c r="R30" i="31" s="1"/>
  <c r="Q36" i="31"/>
  <c r="O36" i="31"/>
  <c r="AD41" i="31"/>
  <c r="AD45" i="31"/>
  <c r="AC45" i="31"/>
  <c r="AA45" i="31"/>
  <c r="Z45" i="31"/>
  <c r="Z51" i="31"/>
  <c r="AL10" i="31"/>
  <c r="AL24" i="31"/>
  <c r="AA51" i="31"/>
  <c r="AM10" i="31"/>
  <c r="AM24" i="31"/>
  <c r="O48" i="31"/>
  <c r="R48" i="31" s="1"/>
  <c r="AC51" i="31"/>
  <c r="AA18" i="31"/>
  <c r="AD31" i="31"/>
  <c r="AC31" i="31"/>
  <c r="AA49" i="31"/>
  <c r="AQ13" i="31"/>
  <c r="AP13" i="31"/>
  <c r="AO13" i="31"/>
  <c r="AC49" i="31"/>
  <c r="AD24" i="31"/>
  <c r="AC24" i="31"/>
  <c r="O16" i="31"/>
  <c r="R16" i="31" s="1"/>
  <c r="AO10" i="31"/>
  <c r="AO24" i="31"/>
  <c r="Z14" i="31"/>
  <c r="O13" i="31"/>
  <c r="R13" i="31" s="1"/>
  <c r="AA14" i="31"/>
  <c r="O20" i="31"/>
  <c r="R20" i="31" s="1"/>
  <c r="Z23" i="31"/>
  <c r="Z38" i="31"/>
  <c r="AC14" i="31"/>
  <c r="AA23" i="31"/>
  <c r="Z30" i="31"/>
  <c r="AA38" i="31"/>
  <c r="AD46" i="31"/>
  <c r="AC46" i="31"/>
  <c r="O19" i="31"/>
  <c r="R19" i="31" s="1"/>
  <c r="Z21" i="31"/>
  <c r="AC23" i="31"/>
  <c r="O29" i="31"/>
  <c r="R29" i="31" s="1"/>
  <c r="AA30" i="31"/>
  <c r="O35" i="31"/>
  <c r="R35" i="31" s="1"/>
  <c r="Z36" i="31"/>
  <c r="AC38" i="31"/>
  <c r="Z46" i="31"/>
  <c r="AA46" i="31"/>
  <c r="AD10" i="31"/>
  <c r="AC10" i="31"/>
  <c r="AA10" i="31"/>
  <c r="O26" i="31"/>
  <c r="R26" i="31" s="1"/>
  <c r="Q43" i="31"/>
  <c r="O43" i="31"/>
  <c r="Z10" i="31"/>
  <c r="O33" i="31"/>
  <c r="R33" i="31" s="1"/>
  <c r="Z50" i="31"/>
  <c r="Z16" i="31"/>
  <c r="AA50" i="31"/>
  <c r="AA16" i="31"/>
  <c r="O49" i="31"/>
  <c r="R49" i="31" s="1"/>
  <c r="AC50" i="31"/>
  <c r="Q25" i="31"/>
  <c r="O25" i="31"/>
  <c r="AI30" i="31" a="1"/>
  <c r="AI30" i="31" s="1"/>
  <c r="AF30" i="31" s="1"/>
  <c r="Z9" i="31"/>
  <c r="O24" i="31"/>
  <c r="R24" i="31" s="1"/>
  <c r="Z26" i="31"/>
  <c r="O41" i="31"/>
  <c r="R41" i="31" s="1"/>
  <c r="Z44" i="31"/>
  <c r="AL22" i="30"/>
  <c r="AO13" i="30"/>
  <c r="AO18" i="30"/>
  <c r="AO16" i="30"/>
  <c r="AF19" i="30"/>
  <c r="AF12" i="30"/>
  <c r="AF20" i="30"/>
  <c r="AL21" i="30"/>
  <c r="AO21" i="30"/>
  <c r="AL13" i="30"/>
  <c r="AF10" i="30"/>
  <c r="AL8" i="30"/>
  <c r="AL19" i="30"/>
  <c r="Q8" i="30"/>
  <c r="T8" i="30" s="1"/>
  <c r="AF22" i="30"/>
  <c r="AF16" i="30"/>
  <c r="Q12" i="30"/>
  <c r="T12" i="30" s="1"/>
  <c r="AL9" i="30"/>
  <c r="AL18" i="30"/>
  <c r="AF14" i="30"/>
  <c r="AL11" i="30"/>
  <c r="AL14" i="30"/>
  <c r="S13" i="30"/>
  <c r="T13" i="30" s="1"/>
  <c r="S16" i="30"/>
  <c r="T16" i="30" s="1"/>
  <c r="AQ14" i="30"/>
  <c r="AL17" i="30"/>
  <c r="AO10" i="30"/>
  <c r="AL12" i="30"/>
  <c r="AL15" i="30"/>
  <c r="Q21" i="30"/>
  <c r="T21" i="30" s="1"/>
  <c r="AO22" i="30"/>
  <c r="AF18" i="30"/>
  <c r="AF21" i="30"/>
  <c r="AF13" i="30"/>
  <c r="AF8" i="30"/>
  <c r="AQ9" i="30"/>
  <c r="AF15" i="30"/>
  <c r="AF11" i="30"/>
  <c r="AL16" i="30"/>
  <c r="Q15" i="30"/>
  <c r="T15" i="30" s="1"/>
  <c r="AQ12" i="30"/>
  <c r="S18" i="30"/>
  <c r="T18" i="30" s="1"/>
  <c r="AQ15" i="30"/>
  <c r="AO15" i="30"/>
  <c r="Q10" i="30"/>
  <c r="T10" i="30" s="1"/>
  <c r="AF17" i="30"/>
  <c r="AL10" i="30"/>
  <c r="S9" i="30"/>
  <c r="Q9" i="30"/>
  <c r="AF9" i="30" s="1"/>
  <c r="Q11" i="30"/>
  <c r="T11" i="30" s="1"/>
  <c r="Q20" i="30"/>
  <c r="T20" i="30" s="1"/>
  <c r="Q22" i="30"/>
  <c r="T22" i="30" s="1"/>
  <c r="Q14" i="30"/>
  <c r="S14" i="30"/>
  <c r="Q19" i="30"/>
  <c r="T19" i="30" s="1"/>
  <c r="Q17" i="30"/>
  <c r="T17" i="30" s="1"/>
  <c r="AL20" i="30"/>
  <c r="C8" i="15"/>
  <c r="C9" i="15"/>
  <c r="A18" i="15"/>
  <c r="B18" i="15"/>
  <c r="C18" i="15"/>
  <c r="A19" i="15"/>
  <c r="B19" i="15"/>
  <c r="C19" i="15"/>
  <c r="AO19" i="15"/>
  <c r="AP19" i="15" s="1"/>
  <c r="AN19" i="15"/>
  <c r="AJ19" i="15"/>
  <c r="AI19" i="15"/>
  <c r="AH19" i="15"/>
  <c r="AE19" i="15"/>
  <c r="AD19" i="15"/>
  <c r="AC19" i="15"/>
  <c r="O19" i="15"/>
  <c r="S19" i="15" s="1"/>
  <c r="I19" i="15"/>
  <c r="J19" i="15" s="1"/>
  <c r="AO18" i="15"/>
  <c r="AP18" i="15" s="1"/>
  <c r="AN18" i="15"/>
  <c r="AJ18" i="15"/>
  <c r="AI18" i="15"/>
  <c r="AH18" i="15"/>
  <c r="AE18" i="15"/>
  <c r="AD18" i="15"/>
  <c r="AC18" i="15"/>
  <c r="O18" i="15"/>
  <c r="S18" i="15" s="1"/>
  <c r="I18" i="15"/>
  <c r="J18" i="15" s="1"/>
  <c r="AO9" i="15"/>
  <c r="AP9" i="15" s="1"/>
  <c r="AN9" i="15"/>
  <c r="AJ9" i="15"/>
  <c r="AI9" i="15"/>
  <c r="AH9" i="15"/>
  <c r="AE9" i="15"/>
  <c r="AD9" i="15"/>
  <c r="O9" i="15"/>
  <c r="S9" i="15" s="1"/>
  <c r="I9" i="15"/>
  <c r="J9" i="15" s="1"/>
  <c r="AO8" i="15"/>
  <c r="AP8" i="15" s="1"/>
  <c r="AN8" i="15"/>
  <c r="AJ8" i="15"/>
  <c r="AI8" i="15"/>
  <c r="AH8" i="15"/>
  <c r="AE8" i="15"/>
  <c r="AD8" i="15"/>
  <c r="O8" i="15"/>
  <c r="I8" i="15"/>
  <c r="J8" i="15" s="1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L25" i="13"/>
  <c r="Y25" i="13"/>
  <c r="M25" i="13"/>
  <c r="Q25" i="13" s="1"/>
  <c r="I25" i="13"/>
  <c r="AL24" i="13"/>
  <c r="Y24" i="13"/>
  <c r="M24" i="13"/>
  <c r="I24" i="13"/>
  <c r="AL23" i="13"/>
  <c r="Y23" i="13"/>
  <c r="M23" i="13"/>
  <c r="Q23" i="13" s="1"/>
  <c r="I23" i="13"/>
  <c r="AL22" i="13"/>
  <c r="Y22" i="13"/>
  <c r="AO22" i="13" s="1"/>
  <c r="M22" i="13"/>
  <c r="I22" i="13"/>
  <c r="AL21" i="13"/>
  <c r="Y21" i="13"/>
  <c r="AO21" i="13" s="1"/>
  <c r="M21" i="13"/>
  <c r="Q21" i="13" s="1"/>
  <c r="I21" i="13"/>
  <c r="AL20" i="13"/>
  <c r="Y20" i="13"/>
  <c r="AO20" i="13" s="1"/>
  <c r="M20" i="13"/>
  <c r="I20" i="13"/>
  <c r="AL19" i="13"/>
  <c r="Y19" i="13"/>
  <c r="M19" i="13"/>
  <c r="Q19" i="13" s="1"/>
  <c r="I19" i="13"/>
  <c r="AL18" i="13"/>
  <c r="Y18" i="13"/>
  <c r="M18" i="13"/>
  <c r="Q18" i="13" s="1"/>
  <c r="I18" i="13"/>
  <c r="AL17" i="13"/>
  <c r="Y17" i="13"/>
  <c r="M17" i="13"/>
  <c r="Q17" i="13" s="1"/>
  <c r="I17" i="13"/>
  <c r="AL16" i="13"/>
  <c r="Y16" i="13"/>
  <c r="M16" i="13"/>
  <c r="O16" i="13" s="1"/>
  <c r="I16" i="13"/>
  <c r="AL15" i="13"/>
  <c r="Y15" i="13"/>
  <c r="AA15" i="13" s="1"/>
  <c r="M15" i="13"/>
  <c r="Q15" i="13" s="1"/>
  <c r="I15" i="13"/>
  <c r="AL14" i="13"/>
  <c r="Y14" i="13"/>
  <c r="AO14" i="13" s="1"/>
  <c r="M14" i="13"/>
  <c r="I14" i="13"/>
  <c r="AL13" i="13"/>
  <c r="Y13" i="13"/>
  <c r="M13" i="13"/>
  <c r="O13" i="13" s="1"/>
  <c r="I13" i="13"/>
  <c r="AL12" i="13"/>
  <c r="Y12" i="13"/>
  <c r="AO12" i="13" s="1"/>
  <c r="I12" i="13"/>
  <c r="AL11" i="13"/>
  <c r="Y11" i="13"/>
  <c r="AO11" i="13" s="1"/>
  <c r="I11" i="13"/>
  <c r="AL9" i="13"/>
  <c r="Y9" i="13"/>
  <c r="I9" i="13"/>
  <c r="C25" i="13"/>
  <c r="B25" i="13"/>
  <c r="C24" i="13"/>
  <c r="B24" i="13"/>
  <c r="C23" i="13"/>
  <c r="B23" i="13"/>
  <c r="C22" i="13"/>
  <c r="B22" i="13"/>
  <c r="C21" i="13"/>
  <c r="B21" i="13"/>
  <c r="C20" i="13"/>
  <c r="B20" i="13"/>
  <c r="C19" i="13"/>
  <c r="B19" i="13"/>
  <c r="C18" i="13"/>
  <c r="B18" i="13"/>
  <c r="C17" i="13"/>
  <c r="B17" i="13"/>
  <c r="C16" i="13"/>
  <c r="B16" i="13"/>
  <c r="C15" i="13"/>
  <c r="B15" i="13"/>
  <c r="C14" i="13"/>
  <c r="B14" i="13"/>
  <c r="C13" i="13"/>
  <c r="B13" i="13"/>
  <c r="C12" i="13"/>
  <c r="B12" i="13" s="1"/>
  <c r="C11" i="13"/>
  <c r="C9" i="13"/>
  <c r="B9" i="13" s="1"/>
  <c r="A11" i="15" l="1"/>
  <c r="AC9" i="15"/>
  <c r="S8" i="15"/>
  <c r="O7" i="15"/>
  <c r="A11" i="13"/>
  <c r="B9" i="15"/>
  <c r="AF18" i="15"/>
  <c r="AC8" i="15"/>
  <c r="B8" i="15"/>
  <c r="AK34" i="31"/>
  <c r="AL34" i="31"/>
  <c r="AL23" i="31"/>
  <c r="AM34" i="31"/>
  <c r="AM23" i="31"/>
  <c r="AP49" i="31"/>
  <c r="AP23" i="31"/>
  <c r="AQ49" i="31"/>
  <c r="AQ23" i="31"/>
  <c r="AK49" i="31"/>
  <c r="AL49" i="31"/>
  <c r="AQ45" i="31"/>
  <c r="AK23" i="31"/>
  <c r="AO34" i="31"/>
  <c r="AL38" i="32"/>
  <c r="AK36" i="31"/>
  <c r="AP9" i="31"/>
  <c r="AQ9" i="31"/>
  <c r="R21" i="31"/>
  <c r="AP34" i="31"/>
  <c r="AK9" i="31"/>
  <c r="AL46" i="31"/>
  <c r="AP46" i="31"/>
  <c r="AO46" i="31"/>
  <c r="AL9" i="31"/>
  <c r="AM49" i="31"/>
  <c r="AM9" i="31"/>
  <c r="P9" i="46"/>
  <c r="S9" i="46" s="1"/>
  <c r="R25" i="31"/>
  <c r="O9" i="31"/>
  <c r="R9" i="31" s="1"/>
  <c r="AL25" i="32"/>
  <c r="AK28" i="32"/>
  <c r="AH22" i="32"/>
  <c r="AK44" i="32"/>
  <c r="AH25" i="32"/>
  <c r="AK48" i="32"/>
  <c r="AK17" i="32"/>
  <c r="AK39" i="32"/>
  <c r="AL30" i="32"/>
  <c r="AL12" i="32"/>
  <c r="AL22" i="32"/>
  <c r="T45" i="32"/>
  <c r="AG12" i="32"/>
  <c r="AH12" i="32" s="1"/>
  <c r="AK9" i="32"/>
  <c r="AL13" i="32"/>
  <c r="AC14" i="32"/>
  <c r="AD14" i="32" s="1"/>
  <c r="AC23" i="32"/>
  <c r="AD23" i="32" s="1"/>
  <c r="AG42" i="32"/>
  <c r="AH42" i="32" s="1"/>
  <c r="AG15" i="32"/>
  <c r="AH15" i="32" s="1"/>
  <c r="AL10" i="32"/>
  <c r="AK10" i="32"/>
  <c r="AG50" i="32"/>
  <c r="AH50" i="32" s="1"/>
  <c r="AC19" i="32"/>
  <c r="AD19" i="32" s="1"/>
  <c r="AG34" i="32"/>
  <c r="AH34" i="32" s="1"/>
  <c r="AC45" i="32"/>
  <c r="AD45" i="32" s="1"/>
  <c r="AC47" i="32"/>
  <c r="AD47" i="32" s="1"/>
  <c r="AL35" i="32"/>
  <c r="AK35" i="32"/>
  <c r="AG8" i="32"/>
  <c r="AH8" i="32" s="1"/>
  <c r="AC50" i="32"/>
  <c r="AD50" i="32" s="1"/>
  <c r="AC18" i="32"/>
  <c r="AD18" i="32" s="1"/>
  <c r="AG35" i="32"/>
  <c r="AH35" i="32" s="1"/>
  <c r="AL8" i="32"/>
  <c r="AK8" i="32"/>
  <c r="AG47" i="32"/>
  <c r="AH47" i="32" s="1"/>
  <c r="AC34" i="32"/>
  <c r="AD34" i="32" s="1"/>
  <c r="AL47" i="32"/>
  <c r="AK47" i="32"/>
  <c r="AL40" i="32"/>
  <c r="AK40" i="32"/>
  <c r="AK43" i="32"/>
  <c r="AL43" i="32"/>
  <c r="AC40" i="32"/>
  <c r="AD40" i="32" s="1"/>
  <c r="AC27" i="32"/>
  <c r="AD27" i="32" s="1"/>
  <c r="AC10" i="32"/>
  <c r="AD10" i="32" s="1"/>
  <c r="AG43" i="32"/>
  <c r="AH43" i="32" s="1"/>
  <c r="AC49" i="32"/>
  <c r="AD49" i="32" s="1"/>
  <c r="AK29" i="32"/>
  <c r="AL29" i="32"/>
  <c r="AG24" i="32"/>
  <c r="AH24" i="32" s="1"/>
  <c r="AK23" i="32"/>
  <c r="AL23" i="32"/>
  <c r="AC20" i="32"/>
  <c r="AD20" i="32" s="1"/>
  <c r="AL24" i="32"/>
  <c r="AK24" i="32"/>
  <c r="AK18" i="32"/>
  <c r="AL18" i="32"/>
  <c r="AG19" i="32"/>
  <c r="AH19" i="32" s="1"/>
  <c r="AC15" i="32"/>
  <c r="AD15" i="32" s="1"/>
  <c r="AK19" i="32"/>
  <c r="AL19" i="32"/>
  <c r="AC32" i="32"/>
  <c r="AD32" i="32" s="1"/>
  <c r="AC37" i="32"/>
  <c r="AD37" i="32" s="1"/>
  <c r="AL27" i="32"/>
  <c r="AK27" i="32"/>
  <c r="AC33" i="32"/>
  <c r="AD33" i="32" s="1"/>
  <c r="AC24" i="32"/>
  <c r="AD24" i="32"/>
  <c r="AC9" i="32"/>
  <c r="AD9" i="32" s="1"/>
  <c r="AL14" i="32"/>
  <c r="AK14" i="32"/>
  <c r="AG20" i="32"/>
  <c r="AH20" i="32" s="1"/>
  <c r="AG37" i="32"/>
  <c r="AH37" i="32"/>
  <c r="AL49" i="32"/>
  <c r="AK49" i="32"/>
  <c r="AL32" i="32"/>
  <c r="AK32" i="32"/>
  <c r="AG45" i="32"/>
  <c r="AH45" i="32" s="1"/>
  <c r="AG29" i="32"/>
  <c r="AH29" i="32" s="1"/>
  <c r="AC42" i="32"/>
  <c r="AD42" i="32" s="1"/>
  <c r="AO29" i="31"/>
  <c r="AP29" i="31"/>
  <c r="AQ29" i="31"/>
  <c r="AL29" i="31"/>
  <c r="AM29" i="31"/>
  <c r="R43" i="31"/>
  <c r="AP43" i="31"/>
  <c r="AQ43" i="31"/>
  <c r="AQ28" i="31"/>
  <c r="AM28" i="31"/>
  <c r="AQ46" i="31"/>
  <c r="AP16" i="31"/>
  <c r="AQ16" i="31"/>
  <c r="AL36" i="31"/>
  <c r="AO36" i="31"/>
  <c r="AK43" i="31"/>
  <c r="AP36" i="31"/>
  <c r="AL43" i="31"/>
  <c r="AK46" i="31"/>
  <c r="AQ36" i="31"/>
  <c r="AM43" i="31"/>
  <c r="AL48" i="31"/>
  <c r="AQ48" i="31"/>
  <c r="AP48" i="31"/>
  <c r="AO48" i="31"/>
  <c r="AM48" i="31"/>
  <c r="AP28" i="31"/>
  <c r="AO28" i="31"/>
  <c r="AO16" i="31"/>
  <c r="AK28" i="31"/>
  <c r="AP18" i="31"/>
  <c r="AL18" i="31"/>
  <c r="R36" i="31"/>
  <c r="AK18" i="31"/>
  <c r="AK45" i="31"/>
  <c r="AQ18" i="31"/>
  <c r="AL45" i="31"/>
  <c r="AM45" i="31"/>
  <c r="AK16" i="31"/>
  <c r="AO45" i="31"/>
  <c r="AL16" i="31"/>
  <c r="AO18" i="31"/>
  <c r="AK30" i="31"/>
  <c r="AQ30" i="31"/>
  <c r="AP30" i="31"/>
  <c r="AO30" i="31"/>
  <c r="AM30" i="31"/>
  <c r="AL30" i="31"/>
  <c r="T9" i="30"/>
  <c r="T14" i="30"/>
  <c r="AQ19" i="13" a="1"/>
  <c r="AQ19" i="13" s="1"/>
  <c r="AN19" i="13" s="1"/>
  <c r="BC19" i="13" s="1"/>
  <c r="AK19" i="15"/>
  <c r="AK9" i="15"/>
  <c r="AK18" i="15"/>
  <c r="AK8" i="15"/>
  <c r="AF19" i="15"/>
  <c r="Q8" i="15"/>
  <c r="T8" i="15" s="1"/>
  <c r="Q19" i="15"/>
  <c r="T19" i="15" s="1"/>
  <c r="Q18" i="15"/>
  <c r="T18" i="15" s="1"/>
  <c r="Q9" i="15"/>
  <c r="T9" i="15" s="1"/>
  <c r="AQ23" i="13" a="1"/>
  <c r="AQ23" i="13" s="1"/>
  <c r="AN23" i="13" s="1"/>
  <c r="O19" i="13"/>
  <c r="R19" i="13" s="1"/>
  <c r="AD21" i="13"/>
  <c r="AQ14" i="13" a="1"/>
  <c r="AQ14" i="13" s="1"/>
  <c r="AK14" i="13" s="1"/>
  <c r="AF13" i="13"/>
  <c r="AB20" i="13"/>
  <c r="AO19" i="13"/>
  <c r="AH19" i="13" s="1"/>
  <c r="AH13" i="13"/>
  <c r="AC20" i="13"/>
  <c r="M12" i="13"/>
  <c r="O12" i="13" s="1"/>
  <c r="Q16" i="13"/>
  <c r="R16" i="13" s="1"/>
  <c r="AF17" i="13"/>
  <c r="AQ25" i="13" a="1"/>
  <c r="AQ25" i="13" s="1"/>
  <c r="AK25" i="13" s="1"/>
  <c r="AQ24" i="13" a="1"/>
  <c r="AQ24" i="13" s="1"/>
  <c r="AN24" i="13" s="1"/>
  <c r="BC24" i="13" s="1"/>
  <c r="AQ17" i="13" a="1"/>
  <c r="AQ17" i="13" s="1"/>
  <c r="AN17" i="13" s="1"/>
  <c r="BE17" i="13" s="1"/>
  <c r="AQ18" i="13" a="1"/>
  <c r="AQ18" i="13" s="1"/>
  <c r="AK18" i="13" s="1"/>
  <c r="AT18" i="13" s="1"/>
  <c r="AQ21" i="13" a="1"/>
  <c r="AQ21" i="13" s="1"/>
  <c r="AN21" i="13" s="1"/>
  <c r="AV21" i="13" s="1"/>
  <c r="AQ20" i="13" a="1"/>
  <c r="AQ20" i="13" s="1"/>
  <c r="AN20" i="13" s="1"/>
  <c r="AQ22" i="13" a="1"/>
  <c r="AQ22" i="13" s="1"/>
  <c r="AA16" i="13"/>
  <c r="AF24" i="13"/>
  <c r="AO18" i="13"/>
  <c r="AB18" i="13" s="1"/>
  <c r="AF18" i="13"/>
  <c r="AQ9" i="13" a="1"/>
  <c r="AQ9" i="13" s="1"/>
  <c r="AK9" i="13" s="1"/>
  <c r="AB21" i="13"/>
  <c r="AA24" i="13"/>
  <c r="AD12" i="13"/>
  <c r="AD16" i="13"/>
  <c r="AC21" i="13"/>
  <c r="AF16" i="13"/>
  <c r="AG12" i="13"/>
  <c r="AB12" i="13"/>
  <c r="AI12" i="13"/>
  <c r="AO9" i="13"/>
  <c r="AC9" i="13" s="1"/>
  <c r="AF9" i="13"/>
  <c r="AA9" i="13"/>
  <c r="AH14" i="13"/>
  <c r="AQ16" i="13" a="1"/>
  <c r="AQ16" i="13" s="1"/>
  <c r="AN16" i="13" s="1"/>
  <c r="AA18" i="13"/>
  <c r="AQ15" i="13" a="1"/>
  <c r="AQ15" i="13" s="1"/>
  <c r="AN15" i="13" s="1"/>
  <c r="AO15" i="13"/>
  <c r="AC15" i="13" s="1"/>
  <c r="AI15" i="13"/>
  <c r="AF15" i="13"/>
  <c r="AD15" i="13"/>
  <c r="O23" i="13"/>
  <c r="R23" i="13" s="1"/>
  <c r="AF12" i="13"/>
  <c r="AQ13" i="13" a="1"/>
  <c r="AQ13" i="13" s="1"/>
  <c r="AQ12" i="13" a="1"/>
  <c r="AQ12" i="13" s="1"/>
  <c r="AN12" i="13" s="1"/>
  <c r="AW12" i="13" s="1"/>
  <c r="M9" i="13"/>
  <c r="O9" i="13" s="1"/>
  <c r="M11" i="13"/>
  <c r="AA20" i="13"/>
  <c r="AD20" i="13"/>
  <c r="AD11" i="13"/>
  <c r="AF20" i="13"/>
  <c r="AF11" i="13"/>
  <c r="AG20" i="13"/>
  <c r="AG11" i="13"/>
  <c r="AH20" i="13"/>
  <c r="AH11" i="13"/>
  <c r="AI20" i="13"/>
  <c r="AI11" i="13"/>
  <c r="O25" i="13"/>
  <c r="R25" i="13" s="1"/>
  <c r="B11" i="13"/>
  <c r="AQ11" i="13" s="1" a="1"/>
  <c r="AQ11" i="13" s="1"/>
  <c r="AF19" i="13"/>
  <c r="Q13" i="13"/>
  <c r="R13" i="13" s="1"/>
  <c r="Q22" i="13"/>
  <c r="O22" i="13"/>
  <c r="AA23" i="13"/>
  <c r="AH23" i="13"/>
  <c r="AO23" i="13"/>
  <c r="AD23" i="13" s="1"/>
  <c r="AF23" i="13"/>
  <c r="AB23" i="13"/>
  <c r="Q14" i="13"/>
  <c r="O14" i="13"/>
  <c r="Q20" i="13"/>
  <c r="O20" i="13"/>
  <c r="AO16" i="13"/>
  <c r="AC16" i="13" s="1"/>
  <c r="AF25" i="13"/>
  <c r="AO25" i="13"/>
  <c r="AH25" i="13" s="1"/>
  <c r="AI25" i="13"/>
  <c r="AD25" i="13"/>
  <c r="AB25" i="13"/>
  <c r="AF22" i="13"/>
  <c r="AC22" i="13"/>
  <c r="AI22" i="13"/>
  <c r="AH22" i="13"/>
  <c r="AG22" i="13"/>
  <c r="AD22" i="13"/>
  <c r="AB22" i="13"/>
  <c r="AA25" i="13"/>
  <c r="AA22" i="13"/>
  <c r="O21" i="13"/>
  <c r="R21" i="13" s="1"/>
  <c r="O24" i="13"/>
  <c r="Q24" i="13"/>
  <c r="AA17" i="13"/>
  <c r="AO17" i="13"/>
  <c r="AB17" i="13" s="1"/>
  <c r="AO24" i="13"/>
  <c r="AC24" i="13" s="1"/>
  <c r="O15" i="13"/>
  <c r="R15" i="13" s="1"/>
  <c r="AF21" i="13"/>
  <c r="AI21" i="13"/>
  <c r="AG21" i="13"/>
  <c r="AH21" i="13"/>
  <c r="AA19" i="13"/>
  <c r="AA21" i="13"/>
  <c r="AO13" i="13"/>
  <c r="AG13" i="13" s="1"/>
  <c r="AI14" i="13"/>
  <c r="AG14" i="13"/>
  <c r="AC14" i="13"/>
  <c r="AA14" i="13"/>
  <c r="AA11" i="13"/>
  <c r="AC12" i="13"/>
  <c r="AH12" i="13"/>
  <c r="AA13" i="13"/>
  <c r="AB14" i="13"/>
  <c r="O17" i="13"/>
  <c r="R17" i="13" s="1"/>
  <c r="O18" i="13"/>
  <c r="R18" i="13" s="1"/>
  <c r="AB11" i="13"/>
  <c r="AA12" i="13"/>
  <c r="AD14" i="13"/>
  <c r="AC11" i="13"/>
  <c r="AC13" i="13"/>
  <c r="AF14" i="13"/>
  <c r="AF8" i="15" l="1"/>
  <c r="AF9" i="15"/>
  <c r="AS9" i="13"/>
  <c r="AU9" i="13" s="1"/>
  <c r="AQ8" i="30"/>
  <c r="AC23" i="13"/>
  <c r="AG23" i="13"/>
  <c r="AI23" i="13"/>
  <c r="AB19" i="13"/>
  <c r="AH17" i="13"/>
  <c r="AC19" i="13"/>
  <c r="AD19" i="13"/>
  <c r="AH18" i="13"/>
  <c r="AG18" i="13"/>
  <c r="AC17" i="13"/>
  <c r="AG17" i="13"/>
  <c r="AI17" i="13"/>
  <c r="AD17" i="13"/>
  <c r="AB15" i="13"/>
  <c r="AD18" i="13"/>
  <c r="AG19" i="13"/>
  <c r="AC18" i="13"/>
  <c r="AG15" i="13"/>
  <c r="AH16" i="13"/>
  <c r="AH15" i="13"/>
  <c r="AI16" i="13"/>
  <c r="AI18" i="13"/>
  <c r="AG16" i="13"/>
  <c r="AC25" i="13"/>
  <c r="AB13" i="13"/>
  <c r="AG25" i="13"/>
  <c r="AD13" i="13"/>
  <c r="AI24" i="13"/>
  <c r="AI13" i="13"/>
  <c r="AI19" i="13"/>
  <c r="AH24" i="13"/>
  <c r="AB24" i="13"/>
  <c r="AB16" i="13"/>
  <c r="AG24" i="13"/>
  <c r="AD24" i="13"/>
  <c r="AK19" i="13"/>
  <c r="AZ19" i="13" s="1"/>
  <c r="R20" i="13"/>
  <c r="AK23" i="13"/>
  <c r="BA23" i="13" s="1"/>
  <c r="AN14" i="13"/>
  <c r="BD14" i="13" s="1"/>
  <c r="Q12" i="13"/>
  <c r="R12" i="13" s="1"/>
  <c r="AD9" i="13"/>
  <c r="BD24" i="13"/>
  <c r="AB9" i="13"/>
  <c r="BE24" i="13"/>
  <c r="AK17" i="13"/>
  <c r="AS17" i="13" s="1"/>
  <c r="AK24" i="13"/>
  <c r="BA24" i="13" s="1"/>
  <c r="AN25" i="13"/>
  <c r="BD25" i="13" s="1"/>
  <c r="Q9" i="13"/>
  <c r="R9" i="13" s="1"/>
  <c r="AX24" i="13"/>
  <c r="AK20" i="13"/>
  <c r="BB20" i="13" s="1"/>
  <c r="AV24" i="13"/>
  <c r="AK21" i="13"/>
  <c r="AU21" i="13" s="1"/>
  <c r="AW24" i="13"/>
  <c r="AK15" i="13"/>
  <c r="AU15" i="13" s="1"/>
  <c r="AN18" i="13"/>
  <c r="AX18" i="13" s="1"/>
  <c r="AX12" i="13"/>
  <c r="AW17" i="13"/>
  <c r="BD19" i="13"/>
  <c r="BE19" i="13"/>
  <c r="BE12" i="13"/>
  <c r="AX17" i="13"/>
  <c r="BC17" i="13"/>
  <c r="BE21" i="13"/>
  <c r="AW21" i="13"/>
  <c r="AX21" i="13"/>
  <c r="BD17" i="13"/>
  <c r="AV17" i="13"/>
  <c r="BC21" i="13"/>
  <c r="BD21" i="13"/>
  <c r="BD12" i="13"/>
  <c r="AV12" i="13"/>
  <c r="AN11" i="13"/>
  <c r="AN22" i="13"/>
  <c r="AK22" i="13"/>
  <c r="BA9" i="13"/>
  <c r="AZ9" i="13"/>
  <c r="BB9" i="13" s="1"/>
  <c r="AT9" i="13"/>
  <c r="R22" i="13"/>
  <c r="AZ18" i="13"/>
  <c r="Q11" i="13"/>
  <c r="O11" i="13"/>
  <c r="AU18" i="13"/>
  <c r="BA18" i="13"/>
  <c r="AX19" i="13"/>
  <c r="AW19" i="13"/>
  <c r="AV19" i="13"/>
  <c r="AN13" i="13"/>
  <c r="AK13" i="13"/>
  <c r="AS18" i="13"/>
  <c r="AG9" i="13"/>
  <c r="BC12" i="13"/>
  <c r="AH9" i="13"/>
  <c r="BB18" i="13"/>
  <c r="AI9" i="13"/>
  <c r="AK16" i="13"/>
  <c r="BA16" i="13" s="1"/>
  <c r="BA25" i="13"/>
  <c r="BB25" i="13"/>
  <c r="AZ25" i="13"/>
  <c r="AU25" i="13"/>
  <c r="AT25" i="13"/>
  <c r="AS25" i="13"/>
  <c r="AT14" i="13"/>
  <c r="AZ14" i="13"/>
  <c r="BA14" i="13"/>
  <c r="AU14" i="13"/>
  <c r="AS14" i="13"/>
  <c r="BB14" i="13"/>
  <c r="BE23" i="13"/>
  <c r="BD23" i="13"/>
  <c r="BC23" i="13"/>
  <c r="AX23" i="13"/>
  <c r="AW23" i="13"/>
  <c r="AV23" i="13"/>
  <c r="BE15" i="13"/>
  <c r="AV15" i="13"/>
  <c r="BD15" i="13"/>
  <c r="BC15" i="13"/>
  <c r="AX15" i="13"/>
  <c r="AW15" i="13"/>
  <c r="R14" i="13"/>
  <c r="R24" i="13"/>
  <c r="BE20" i="13"/>
  <c r="BD20" i="13"/>
  <c r="BC20" i="13"/>
  <c r="AX20" i="13"/>
  <c r="AW20" i="13"/>
  <c r="AV20" i="13"/>
  <c r="BC16" i="13"/>
  <c r="BE16" i="13"/>
  <c r="BD16" i="13"/>
  <c r="AX16" i="13"/>
  <c r="AV16" i="13"/>
  <c r="AW16" i="13"/>
  <c r="BA19" i="13" l="1"/>
  <c r="BA20" i="13"/>
  <c r="AZ20" i="13"/>
  <c r="BB19" i="13"/>
  <c r="AS19" i="13"/>
  <c r="AT19" i="13"/>
  <c r="AU19" i="13"/>
  <c r="AT17" i="13"/>
  <c r="AV25" i="13"/>
  <c r="AW25" i="13"/>
  <c r="AX25" i="13"/>
  <c r="BE14" i="13"/>
  <c r="AX14" i="13"/>
  <c r="AW14" i="13"/>
  <c r="AZ17" i="13"/>
  <c r="BB17" i="13"/>
  <c r="BC25" i="13"/>
  <c r="BE25" i="13"/>
  <c r="BA21" i="13"/>
  <c r="AZ15" i="13"/>
  <c r="AT24" i="13"/>
  <c r="AT20" i="13"/>
  <c r="AT21" i="13"/>
  <c r="AU20" i="13"/>
  <c r="AS23" i="13"/>
  <c r="AS21" i="13"/>
  <c r="AS20" i="13"/>
  <c r="AU23" i="13"/>
  <c r="BA15" i="13"/>
  <c r="AT23" i="13"/>
  <c r="AV18" i="13"/>
  <c r="BB23" i="13"/>
  <c r="BB21" i="13"/>
  <c r="AS15" i="13"/>
  <c r="AZ23" i="13"/>
  <c r="AV14" i="13"/>
  <c r="BB15" i="13"/>
  <c r="AZ21" i="13"/>
  <c r="BC14" i="13"/>
  <c r="AS24" i="13"/>
  <c r="BC18" i="13"/>
  <c r="BE18" i="13"/>
  <c r="BB24" i="13"/>
  <c r="BD18" i="13"/>
  <c r="AT15" i="13"/>
  <c r="AZ24" i="13"/>
  <c r="BA17" i="13"/>
  <c r="AU24" i="13"/>
  <c r="AU17" i="13"/>
  <c r="AW18" i="13"/>
  <c r="BA22" i="13"/>
  <c r="AZ22" i="13"/>
  <c r="BB22" i="13"/>
  <c r="AU22" i="13"/>
  <c r="AT22" i="13"/>
  <c r="AS22" i="13"/>
  <c r="BC22" i="13"/>
  <c r="AX22" i="13"/>
  <c r="AW22" i="13"/>
  <c r="AV22" i="13"/>
  <c r="BE22" i="13"/>
  <c r="BD22" i="13"/>
  <c r="BB13" i="13"/>
  <c r="BA13" i="13"/>
  <c r="AZ13" i="13"/>
  <c r="AU13" i="13"/>
  <c r="AS13" i="13"/>
  <c r="AT13" i="13"/>
  <c r="R11" i="13"/>
  <c r="AW13" i="13"/>
  <c r="AX13" i="13"/>
  <c r="BC13" i="13"/>
  <c r="AV13" i="13"/>
  <c r="BD13" i="13"/>
  <c r="BE13" i="13"/>
  <c r="AU16" i="13"/>
  <c r="AZ16" i="13"/>
  <c r="AT16" i="13"/>
  <c r="AS16" i="13"/>
  <c r="AX11" i="13"/>
  <c r="AW11" i="13"/>
  <c r="BE11" i="13"/>
  <c r="BD11" i="13"/>
  <c r="BC11" i="13"/>
  <c r="AV11" i="13"/>
  <c r="BB16" i="13"/>
  <c r="C7" i="32" l="1"/>
  <c r="C8" i="31"/>
  <c r="AM7" i="32" l="1"/>
  <c r="C7" i="47" l="1"/>
  <c r="B7" i="47"/>
  <c r="C8" i="46"/>
  <c r="B8" i="46"/>
  <c r="B7" i="32"/>
  <c r="B8" i="31"/>
  <c r="AI8" i="31" s="1" a="1"/>
  <c r="AI8" i="31" s="1"/>
  <c r="C8" i="30"/>
  <c r="B8" i="30" s="1"/>
  <c r="AR8" i="15" a="1"/>
  <c r="AR8" i="15" s="1"/>
  <c r="A10" i="15" l="1"/>
  <c r="A9" i="15"/>
  <c r="A8" i="15"/>
  <c r="AR18" i="15" a="1"/>
  <c r="AR18" i="15" s="1"/>
  <c r="AR9" i="15" a="1"/>
  <c r="AR9" i="15" s="1"/>
  <c r="AR19" i="15" a="1"/>
  <c r="AR19" i="15" s="1"/>
  <c r="M7" i="30"/>
  <c r="N7" i="30"/>
  <c r="L10" i="13"/>
  <c r="L8" i="13"/>
  <c r="K10" i="13"/>
  <c r="K8" i="13"/>
  <c r="M7" i="15"/>
  <c r="N7" i="15"/>
  <c r="AK12" i="13" l="1"/>
  <c r="AN9" i="13"/>
  <c r="AK11" i="13"/>
  <c r="AO8" i="30" s="1"/>
  <c r="A48" i="32"/>
  <c r="A49" i="32"/>
  <c r="A50" i="32"/>
  <c r="A43" i="32"/>
  <c r="A44" i="32"/>
  <c r="A45" i="32"/>
  <c r="A38" i="32"/>
  <c r="A39" i="32"/>
  <c r="A40" i="32"/>
  <c r="A33" i="32"/>
  <c r="A34" i="32"/>
  <c r="A35" i="32"/>
  <c r="A28" i="32"/>
  <c r="A29" i="32"/>
  <c r="A30" i="32"/>
  <c r="A23" i="32"/>
  <c r="A24" i="32"/>
  <c r="A25" i="32"/>
  <c r="A18" i="32"/>
  <c r="A19" i="32"/>
  <c r="A20" i="32"/>
  <c r="A13" i="32"/>
  <c r="A14" i="32"/>
  <c r="A15" i="32"/>
  <c r="A8" i="32"/>
  <c r="A9" i="32"/>
  <c r="A10" i="32"/>
  <c r="A49" i="31"/>
  <c r="A50" i="31"/>
  <c r="A51" i="31"/>
  <c r="A44" i="31"/>
  <c r="A45" i="31"/>
  <c r="A46" i="31"/>
  <c r="A39" i="31"/>
  <c r="A40" i="31"/>
  <c r="A41" i="31"/>
  <c r="A34" i="31"/>
  <c r="A35" i="31"/>
  <c r="A36" i="31"/>
  <c r="A29" i="31"/>
  <c r="A30" i="31"/>
  <c r="A31" i="31"/>
  <c r="A24" i="31"/>
  <c r="A25" i="31"/>
  <c r="A26" i="31"/>
  <c r="A19" i="31"/>
  <c r="A20" i="31"/>
  <c r="A21" i="31"/>
  <c r="A14" i="31"/>
  <c r="A15" i="31"/>
  <c r="A16" i="31"/>
  <c r="A9" i="31"/>
  <c r="A10" i="31"/>
  <c r="A11" i="31"/>
  <c r="AT11" i="13" l="1"/>
  <c r="AS11" i="13"/>
  <c r="AU11" i="13" s="1"/>
  <c r="AZ11" i="13"/>
  <c r="BB11" i="13" s="1"/>
  <c r="BA11" i="13"/>
  <c r="AW9" i="13"/>
  <c r="BC9" i="13"/>
  <c r="BE9" i="13" s="1"/>
  <c r="AV9" i="13"/>
  <c r="AX9" i="13" s="1"/>
  <c r="BD9" i="13"/>
  <c r="AT12" i="13"/>
  <c r="AS12" i="13"/>
  <c r="AU12" i="13" s="1"/>
  <c r="BA12" i="13"/>
  <c r="AZ12" i="13"/>
  <c r="BB12" i="13" s="1"/>
  <c r="R46" i="32"/>
  <c r="P46" i="32"/>
  <c r="R41" i="32"/>
  <c r="P41" i="32"/>
  <c r="R36" i="32"/>
  <c r="P36" i="32"/>
  <c r="R31" i="32"/>
  <c r="P31" i="32"/>
  <c r="R26" i="32"/>
  <c r="P26" i="32"/>
  <c r="R21" i="32"/>
  <c r="P21" i="32"/>
  <c r="R16" i="32"/>
  <c r="P16" i="32"/>
  <c r="R11" i="32"/>
  <c r="P11" i="32"/>
  <c r="R6" i="32"/>
  <c r="P6" i="32"/>
  <c r="P47" i="31"/>
  <c r="N47" i="31"/>
  <c r="P42" i="31"/>
  <c r="N42" i="31"/>
  <c r="P37" i="31"/>
  <c r="N37" i="31"/>
  <c r="P32" i="31"/>
  <c r="N32" i="31"/>
  <c r="P27" i="31"/>
  <c r="N27" i="31"/>
  <c r="P22" i="31"/>
  <c r="N22" i="31"/>
  <c r="P17" i="31"/>
  <c r="N17" i="31"/>
  <c r="P12" i="31"/>
  <c r="N12" i="31"/>
  <c r="P7" i="31"/>
  <c r="N7" i="31"/>
  <c r="R7" i="30"/>
  <c r="P7" i="30"/>
  <c r="R7" i="15"/>
  <c r="P7" i="15"/>
  <c r="P10" i="13"/>
  <c r="N10" i="13"/>
  <c r="P8" i="13"/>
  <c r="N8" i="13"/>
  <c r="N41" i="32"/>
  <c r="N31" i="32"/>
  <c r="L37" i="31"/>
  <c r="L32" i="31"/>
  <c r="L27" i="31"/>
  <c r="L22" i="31"/>
  <c r="L17" i="31"/>
  <c r="O41" i="32" l="1"/>
  <c r="N46" i="32"/>
  <c r="N36" i="32"/>
  <c r="O31" i="32"/>
  <c r="N26" i="32"/>
  <c r="N21" i="32"/>
  <c r="O21" i="32"/>
  <c r="N16" i="32"/>
  <c r="N11" i="32"/>
  <c r="L47" i="31"/>
  <c r="L42" i="31"/>
  <c r="L12" i="31"/>
  <c r="M22" i="31"/>
  <c r="M42" i="31"/>
  <c r="O46" i="32" l="1"/>
  <c r="O36" i="32"/>
  <c r="M32" i="31"/>
  <c r="Q42" i="31"/>
  <c r="O42" i="31"/>
  <c r="Q46" i="32"/>
  <c r="O16" i="32"/>
  <c r="Q41" i="32"/>
  <c r="S36" i="32"/>
  <c r="S31" i="32"/>
  <c r="O22" i="31"/>
  <c r="Q22" i="31"/>
  <c r="M10" i="13"/>
  <c r="Q10" i="13"/>
  <c r="S41" i="32"/>
  <c r="O26" i="32"/>
  <c r="Q31" i="32"/>
  <c r="Q16" i="32"/>
  <c r="Q11" i="32"/>
  <c r="O11" i="32"/>
  <c r="Q21" i="32"/>
  <c r="S21" i="32"/>
  <c r="S11" i="32"/>
  <c r="Q12" i="31"/>
  <c r="M12" i="31"/>
  <c r="M47" i="31"/>
  <c r="M27" i="31"/>
  <c r="Q17" i="31"/>
  <c r="M17" i="31"/>
  <c r="M37" i="31"/>
  <c r="O7" i="30"/>
  <c r="M8" i="13"/>
  <c r="Q27" i="31"/>
  <c r="O32" i="31"/>
  <c r="Q26" i="32" l="1"/>
  <c r="S26" i="32"/>
  <c r="S46" i="32"/>
  <c r="Q36" i="32"/>
  <c r="S7" i="30"/>
  <c r="Q8" i="13"/>
  <c r="Q47" i="31"/>
  <c r="Q32" i="31"/>
  <c r="O27" i="31"/>
  <c r="S7" i="15"/>
  <c r="O10" i="13"/>
  <c r="S16" i="32"/>
  <c r="O47" i="31"/>
  <c r="O37" i="31"/>
  <c r="O12" i="31"/>
  <c r="O17" i="31"/>
  <c r="Q37" i="31"/>
  <c r="Q7" i="30"/>
  <c r="Q7" i="15"/>
  <c r="O8" i="13"/>
  <c r="N6" i="32" l="1"/>
  <c r="L7" i="31"/>
  <c r="R11" i="47" l="1"/>
  <c r="P11" i="47"/>
  <c r="R6" i="47"/>
  <c r="P6" i="47"/>
  <c r="Q12" i="46"/>
  <c r="O12" i="46"/>
  <c r="Q7" i="46"/>
  <c r="O7" i="46"/>
  <c r="N11" i="47" l="1"/>
  <c r="N6" i="47"/>
  <c r="M7" i="46" l="1"/>
  <c r="M12" i="46"/>
  <c r="N6" i="15" l="1"/>
  <c r="N6" i="30"/>
  <c r="AE7" i="30" l="1"/>
  <c r="AD7" i="30"/>
  <c r="AC7" i="15"/>
  <c r="AD7" i="15"/>
  <c r="AE7" i="15"/>
  <c r="AH7" i="15"/>
  <c r="AI7" i="15"/>
  <c r="AJ7" i="15"/>
  <c r="AP7" i="15"/>
  <c r="AN7" i="15"/>
  <c r="AI7" i="30"/>
  <c r="AJ7" i="30"/>
  <c r="AB7" i="30"/>
  <c r="AC7" i="30"/>
  <c r="AT7" i="30"/>
  <c r="AV7" i="30"/>
  <c r="AQ7" i="30"/>
  <c r="AK7" i="30"/>
  <c r="AH7" i="30"/>
  <c r="AK7" i="15" l="1"/>
  <c r="AF7" i="15"/>
  <c r="AO7" i="30"/>
  <c r="AL7" i="30"/>
  <c r="AF7" i="30"/>
  <c r="AN41" i="32" l="1"/>
  <c r="AN16" i="32"/>
  <c r="AN46" i="32"/>
  <c r="AN21" i="32"/>
  <c r="AN36" i="32"/>
  <c r="AN31" i="32"/>
  <c r="AN26" i="32"/>
  <c r="AN11" i="32"/>
  <c r="AL22" i="31" l="1"/>
  <c r="AK17" i="31"/>
  <c r="AL17" i="31"/>
  <c r="AK27" i="31"/>
  <c r="AL27" i="31"/>
  <c r="AQ17" i="31"/>
  <c r="AQ27" i="31"/>
  <c r="AM22" i="31"/>
  <c r="AO47" i="31"/>
  <c r="AP47" i="31"/>
  <c r="AQ47" i="31"/>
  <c r="AK47" i="31"/>
  <c r="AM47" i="31"/>
  <c r="AL47" i="31"/>
  <c r="AO42" i="31"/>
  <c r="AP42" i="31"/>
  <c r="AK42" i="31"/>
  <c r="AQ42" i="31"/>
  <c r="AM42" i="31"/>
  <c r="AL42" i="31"/>
  <c r="AM37" i="31"/>
  <c r="AO37" i="31"/>
  <c r="AP37" i="31"/>
  <c r="AK37" i="31"/>
  <c r="AL37" i="31"/>
  <c r="AQ37" i="31"/>
  <c r="AK32" i="31"/>
  <c r="AO32" i="31"/>
  <c r="AP32" i="31"/>
  <c r="AQ32" i="31"/>
  <c r="AM32" i="31"/>
  <c r="AL32" i="31"/>
  <c r="AO27" i="31"/>
  <c r="AP27" i="31"/>
  <c r="AM27" i="31"/>
  <c r="AK22" i="31"/>
  <c r="AO22" i="31"/>
  <c r="AP22" i="31"/>
  <c r="AQ22" i="31"/>
  <c r="AM17" i="31"/>
  <c r="AO17" i="31"/>
  <c r="AP17" i="31"/>
  <c r="AN6" i="15" l="1"/>
  <c r="J10" i="13" l="1"/>
  <c r="J8" i="13"/>
  <c r="L12" i="46"/>
  <c r="N8" i="46"/>
  <c r="L46" i="32"/>
  <c r="M41" i="32"/>
  <c r="L41" i="32"/>
  <c r="L36" i="32"/>
  <c r="L31" i="32"/>
  <c r="L26" i="32"/>
  <c r="L21" i="32"/>
  <c r="L16" i="32"/>
  <c r="L11" i="32"/>
  <c r="L7" i="30"/>
  <c r="L7" i="15"/>
  <c r="K7" i="31" l="1"/>
  <c r="O11" i="47"/>
  <c r="R8" i="46"/>
  <c r="M16" i="32"/>
  <c r="K42" i="31"/>
  <c r="K22" i="31"/>
  <c r="M11" i="47"/>
  <c r="O7" i="47"/>
  <c r="Q7" i="47" s="1"/>
  <c r="N7" i="46"/>
  <c r="M6" i="46"/>
  <c r="L7" i="46"/>
  <c r="L6" i="46" s="1"/>
  <c r="M31" i="32"/>
  <c r="O7" i="32"/>
  <c r="O6" i="32" s="1"/>
  <c r="M6" i="32"/>
  <c r="M21" i="32"/>
  <c r="M46" i="32"/>
  <c r="M36" i="32"/>
  <c r="M26" i="32"/>
  <c r="M8" i="31"/>
  <c r="M7" i="31" s="1"/>
  <c r="K32" i="31"/>
  <c r="K12" i="31"/>
  <c r="K47" i="31"/>
  <c r="K37" i="31"/>
  <c r="K27" i="31"/>
  <c r="K17" i="31"/>
  <c r="M6" i="47"/>
  <c r="P8" i="46"/>
  <c r="M11" i="32"/>
  <c r="N12" i="46" l="1"/>
  <c r="M5" i="47"/>
  <c r="S11" i="47"/>
  <c r="M6" i="30"/>
  <c r="M6" i="15"/>
  <c r="S7" i="47"/>
  <c r="S6" i="47" s="1"/>
  <c r="O6" i="47"/>
  <c r="Q11" i="47"/>
  <c r="S8" i="46"/>
  <c r="P7" i="46"/>
  <c r="R7" i="46"/>
  <c r="Q7" i="32"/>
  <c r="Q6" i="32" s="1"/>
  <c r="Q8" i="31"/>
  <c r="Q7" i="31" s="1"/>
  <c r="N5" i="32"/>
  <c r="L6" i="31"/>
  <c r="O8" i="31"/>
  <c r="O7" i="31" s="1"/>
  <c r="K6" i="31"/>
  <c r="S7" i="32"/>
  <c r="S6" i="32" s="1"/>
  <c r="N5" i="47"/>
  <c r="M5" i="32"/>
  <c r="R12" i="46"/>
  <c r="K7" i="13"/>
  <c r="L7" i="13"/>
  <c r="T7" i="47" l="1"/>
  <c r="Q6" i="47"/>
  <c r="P12" i="46"/>
  <c r="T7" i="32"/>
  <c r="R8" i="31"/>
  <c r="AF6" i="30" l="1"/>
  <c r="AL6" i="30"/>
  <c r="G27" i="39" l="1"/>
  <c r="F27" i="39"/>
  <c r="D27" i="39"/>
  <c r="C27" i="39"/>
  <c r="A9" i="46" l="1"/>
  <c r="A10" i="46"/>
  <c r="A11" i="46"/>
  <c r="A8" i="47"/>
  <c r="A9" i="47"/>
  <c r="A10" i="47"/>
  <c r="A15" i="47"/>
  <c r="A14" i="47"/>
  <c r="A13" i="47"/>
  <c r="L11" i="47"/>
  <c r="A7" i="47"/>
  <c r="L6" i="47"/>
  <c r="A16" i="46"/>
  <c r="A15" i="46"/>
  <c r="A14" i="46"/>
  <c r="K12" i="46"/>
  <c r="K7" i="46"/>
  <c r="R5" i="47" l="1"/>
  <c r="K6" i="46"/>
  <c r="L5" i="47"/>
  <c r="A12" i="47"/>
  <c r="O6" i="46"/>
  <c r="Q6" i="46"/>
  <c r="P5" i="47"/>
  <c r="R2" i="47"/>
  <c r="P2" i="47"/>
  <c r="A13" i="46"/>
  <c r="A8" i="46"/>
  <c r="S5" i="47" l="1"/>
  <c r="O5" i="47"/>
  <c r="R6" i="46"/>
  <c r="S2" i="47"/>
  <c r="N6" i="46"/>
  <c r="R2" i="46" l="1"/>
  <c r="Q5" i="47"/>
  <c r="Q2" i="47"/>
  <c r="P6" i="46"/>
  <c r="AF8" i="13" l="1"/>
  <c r="AG8" i="13"/>
  <c r="AD8" i="13"/>
  <c r="AB8" i="13"/>
  <c r="AA10" i="13"/>
  <c r="AC8" i="13"/>
  <c r="AG10" i="13"/>
  <c r="AH8" i="13"/>
  <c r="AC10" i="13"/>
  <c r="AI8" i="13"/>
  <c r="AD10" i="13"/>
  <c r="AA8" i="13"/>
  <c r="AF10" i="13"/>
  <c r="AI10" i="13"/>
  <c r="AH10" i="13"/>
  <c r="AB10" i="13"/>
  <c r="C43" i="39" l="1"/>
  <c r="AV10" i="13" l="1"/>
  <c r="BD10" i="13"/>
  <c r="BC10" i="13"/>
  <c r="AW10" i="13"/>
  <c r="BE10" i="13"/>
  <c r="AX10" i="13"/>
  <c r="AV8" i="13"/>
  <c r="BD8" i="13"/>
  <c r="BC8" i="13"/>
  <c r="AW8" i="13"/>
  <c r="AX8" i="13"/>
  <c r="BE8" i="13"/>
  <c r="Z7" i="32" l="1"/>
  <c r="AB7" i="32" l="1"/>
  <c r="AF7" i="32"/>
  <c r="AJ7" i="32"/>
  <c r="AB26" i="32"/>
  <c r="AF31" i="32"/>
  <c r="AB21" i="32"/>
  <c r="AB16" i="32"/>
  <c r="AB36" i="32"/>
  <c r="AF26" i="32"/>
  <c r="AF16" i="32"/>
  <c r="AF21" i="32"/>
  <c r="AL31" i="32"/>
  <c r="AB46" i="32"/>
  <c r="AB41" i="32"/>
  <c r="AF46" i="32"/>
  <c r="AG46" i="32"/>
  <c r="AF41" i="32"/>
  <c r="AG41" i="32"/>
  <c r="AC11" i="32"/>
  <c r="AB11" i="32"/>
  <c r="AF36" i="32"/>
  <c r="AG11" i="32"/>
  <c r="AF11" i="32"/>
  <c r="AB31" i="32"/>
  <c r="AL11" i="32"/>
  <c r="AF6" i="15"/>
  <c r="G26" i="39"/>
  <c r="F26" i="39"/>
  <c r="D26" i="39"/>
  <c r="C26" i="39"/>
  <c r="AL7" i="32" l="1"/>
  <c r="AL6" i="32" s="1"/>
  <c r="AK7" i="32"/>
  <c r="AN7" i="32"/>
  <c r="AG7" i="32"/>
  <c r="AH7" i="32" s="1"/>
  <c r="AC7" i="32"/>
  <c r="AD7" i="32" s="1"/>
  <c r="AL36" i="32"/>
  <c r="AD11" i="32"/>
  <c r="AL21" i="32"/>
  <c r="AH46" i="32"/>
  <c r="AC31" i="32"/>
  <c r="AC36" i="32"/>
  <c r="AC26" i="32"/>
  <c r="AC16" i="32"/>
  <c r="AG16" i="32"/>
  <c r="AG31" i="32"/>
  <c r="AG36" i="32"/>
  <c r="AC21" i="32"/>
  <c r="AC46" i="32"/>
  <c r="AG21" i="32"/>
  <c r="AH36" i="32"/>
  <c r="AH31" i="32"/>
  <c r="AD26" i="32"/>
  <c r="AL46" i="32"/>
  <c r="AD31" i="32"/>
  <c r="AL16" i="32"/>
  <c r="AD36" i="32"/>
  <c r="AH16" i="32"/>
  <c r="AH41" i="32"/>
  <c r="AL41" i="32"/>
  <c r="AC41" i="32"/>
  <c r="AH11" i="32"/>
  <c r="AD41" i="32"/>
  <c r="AL26" i="32"/>
  <c r="AG26" i="32"/>
  <c r="AD46" i="32"/>
  <c r="AH21" i="32"/>
  <c r="AD16" i="32"/>
  <c r="AH26" i="32"/>
  <c r="AD21" i="32"/>
  <c r="X8" i="31"/>
  <c r="AC8" i="31" s="1"/>
  <c r="AL5" i="32" l="1"/>
  <c r="AD17" i="31"/>
  <c r="AA17" i="31"/>
  <c r="AC17" i="31"/>
  <c r="AD32" i="31"/>
  <c r="AC32" i="31"/>
  <c r="AA37" i="31"/>
  <c r="Z37" i="31"/>
  <c r="Z8" i="31"/>
  <c r="AD37" i="31" l="1"/>
  <c r="Z17" i="31"/>
  <c r="Z32" i="31"/>
  <c r="Z7" i="31"/>
  <c r="AC47" i="31"/>
  <c r="AD47" i="31"/>
  <c r="Z47" i="31"/>
  <c r="AC12" i="31"/>
  <c r="AA47" i="31"/>
  <c r="Z12" i="31"/>
  <c r="Z42" i="31"/>
  <c r="Z27" i="31"/>
  <c r="Z22" i="31"/>
  <c r="AC37" i="31"/>
  <c r="AD12" i="31"/>
  <c r="AA42" i="31"/>
  <c r="AA27" i="31"/>
  <c r="AA22" i="31"/>
  <c r="AA32" i="31"/>
  <c r="AA12" i="31"/>
  <c r="AC42" i="31"/>
  <c r="AC27" i="31"/>
  <c r="AC22" i="31"/>
  <c r="AD42" i="31"/>
  <c r="AD27" i="31"/>
  <c r="AD22" i="31"/>
  <c r="B23" i="3"/>
  <c r="I23" i="3"/>
  <c r="I22" i="3"/>
  <c r="B22" i="3"/>
  <c r="Z6" i="31" l="1"/>
  <c r="AP6" i="15"/>
  <c r="I21" i="3"/>
  <c r="I20" i="3" s="1"/>
  <c r="J20" i="3" s="1"/>
  <c r="K26" i="3"/>
  <c r="D26" i="3"/>
  <c r="D25" i="3"/>
  <c r="K25" i="3"/>
  <c r="K22" i="3"/>
  <c r="K23" i="3"/>
  <c r="D23" i="3"/>
  <c r="D22" i="3"/>
  <c r="B21" i="3"/>
  <c r="B20" i="3" s="1"/>
  <c r="C20" i="3" s="1"/>
  <c r="D15" i="3" l="1"/>
  <c r="D14" i="3"/>
  <c r="D13" i="3"/>
  <c r="D12" i="3"/>
  <c r="D11" i="3"/>
  <c r="D10" i="3"/>
  <c r="K24" i="3"/>
  <c r="D24" i="3"/>
  <c r="D21" i="3"/>
  <c r="K21" i="3"/>
  <c r="K15" i="3"/>
  <c r="K14" i="3"/>
  <c r="K13" i="3"/>
  <c r="K10" i="3"/>
  <c r="K12" i="3"/>
  <c r="K11" i="3"/>
  <c r="AV6" i="30" l="1"/>
  <c r="AT6" i="30"/>
  <c r="K20" i="3"/>
  <c r="M20" i="3"/>
  <c r="N20" i="3" s="1"/>
  <c r="D20" i="3"/>
  <c r="F20" i="3"/>
  <c r="AI6" i="30"/>
  <c r="AJ6" i="30"/>
  <c r="AD6" i="30"/>
  <c r="AC6" i="30"/>
  <c r="AI6" i="15"/>
  <c r="AJ6" i="15"/>
  <c r="I32" i="3" s="1"/>
  <c r="AC6" i="15"/>
  <c r="AD6" i="15"/>
  <c r="AE6" i="15"/>
  <c r="B32" i="3" s="1"/>
  <c r="I8" i="3" l="1"/>
  <c r="B8" i="3"/>
  <c r="AO6" i="30" l="1"/>
  <c r="AQ6" i="30"/>
  <c r="I7" i="32"/>
  <c r="J7" i="32" s="1"/>
  <c r="A9" i="13" l="1"/>
  <c r="AT8" i="13" l="1"/>
  <c r="AS8" i="13"/>
  <c r="AZ8" i="13"/>
  <c r="BA8" i="13"/>
  <c r="AZ10" i="13" l="1"/>
  <c r="BA10" i="13"/>
  <c r="AT10" i="13"/>
  <c r="AS10" i="13"/>
  <c r="AU10" i="13"/>
  <c r="BB10" i="13"/>
  <c r="AU8" i="13"/>
  <c r="BB8" i="13"/>
  <c r="L6" i="32"/>
  <c r="I8" i="31"/>
  <c r="AG8" i="31"/>
  <c r="J37" i="31"/>
  <c r="J47" i="31"/>
  <c r="J42" i="31"/>
  <c r="J27" i="31"/>
  <c r="J32" i="31"/>
  <c r="J22" i="31"/>
  <c r="J17" i="31"/>
  <c r="J12" i="31"/>
  <c r="J7" i="31"/>
  <c r="J6" i="31" l="1"/>
  <c r="L5" i="32"/>
  <c r="P5" i="32"/>
  <c r="I10" i="3"/>
  <c r="B12" i="3"/>
  <c r="I15" i="3"/>
  <c r="I14" i="3"/>
  <c r="B10" i="3"/>
  <c r="I13" i="3"/>
  <c r="I12" i="3"/>
  <c r="I11" i="3"/>
  <c r="B11" i="3"/>
  <c r="B15" i="3"/>
  <c r="B14" i="3"/>
  <c r="B13" i="3"/>
  <c r="AA8" i="31"/>
  <c r="AD8" i="31"/>
  <c r="P2" i="32"/>
  <c r="AA7" i="31" l="1"/>
  <c r="AA6" i="31" s="1"/>
  <c r="AH6" i="32"/>
  <c r="AH5" i="32"/>
  <c r="AD6" i="32"/>
  <c r="AD5" i="32"/>
  <c r="BA7" i="13"/>
  <c r="AZ7" i="13"/>
  <c r="AT7" i="13"/>
  <c r="BB7" i="13"/>
  <c r="K9" i="3"/>
  <c r="AD7" i="31"/>
  <c r="AD6" i="31" s="1"/>
  <c r="AF6" i="32"/>
  <c r="AF5" i="32" s="1"/>
  <c r="AC7" i="31"/>
  <c r="AC6" i="31" s="1"/>
  <c r="AF2" i="32" l="1"/>
  <c r="AC3" i="31"/>
  <c r="AS7" i="13"/>
  <c r="B7" i="3" l="1"/>
  <c r="I7" i="3"/>
  <c r="M13" i="3"/>
  <c r="M14" i="3"/>
  <c r="M10" i="3"/>
  <c r="M11" i="3"/>
  <c r="M12" i="3"/>
  <c r="I6" i="3" l="1"/>
  <c r="B6" i="3"/>
  <c r="AC7" i="13"/>
  <c r="AG7" i="13"/>
  <c r="AB7" i="13"/>
  <c r="AH7" i="13"/>
  <c r="M15" i="3"/>
  <c r="M9" i="3" s="1"/>
  <c r="N9" i="3" s="1"/>
  <c r="I9" i="3"/>
  <c r="I5" i="3" l="1"/>
  <c r="O6" i="30"/>
  <c r="P6" i="30"/>
  <c r="R6" i="30"/>
  <c r="L6" i="30"/>
  <c r="L6" i="15"/>
  <c r="J7" i="13"/>
  <c r="D32" i="39" l="1"/>
  <c r="C42" i="39"/>
  <c r="B42" i="39"/>
  <c r="B18" i="39" s="1"/>
  <c r="K1" i="3" l="1"/>
  <c r="M1" i="3" s="1"/>
  <c r="Q6" i="30"/>
  <c r="S6" i="30"/>
  <c r="AG6" i="32" l="1"/>
  <c r="AG5" i="32" s="1"/>
  <c r="R5" i="32"/>
  <c r="O5" i="32"/>
  <c r="P6" i="31"/>
  <c r="N6" i="31"/>
  <c r="M6" i="31"/>
  <c r="AK6" i="30"/>
  <c r="I33" i="3" s="1"/>
  <c r="I31" i="3" s="1"/>
  <c r="L31" i="3" s="1"/>
  <c r="AH6" i="30"/>
  <c r="AE6" i="30"/>
  <c r="B33" i="3" s="1"/>
  <c r="B31" i="3" s="1"/>
  <c r="AB6" i="30"/>
  <c r="R6" i="15"/>
  <c r="P6" i="15"/>
  <c r="AF7" i="13"/>
  <c r="AA7" i="13"/>
  <c r="B43" i="39"/>
  <c r="C41" i="39"/>
  <c r="B41" i="39"/>
  <c r="B17" i="39" s="1"/>
  <c r="C40" i="39"/>
  <c r="B40" i="39"/>
  <c r="B16" i="39" s="1"/>
  <c r="C39" i="39"/>
  <c r="B39" i="39"/>
  <c r="B15" i="39" s="1"/>
  <c r="C38" i="39"/>
  <c r="B38" i="39"/>
  <c r="B14" i="39" s="1"/>
  <c r="C37" i="39"/>
  <c r="B37" i="39"/>
  <c r="B13" i="39" s="1"/>
  <c r="C36" i="39"/>
  <c r="B36" i="39"/>
  <c r="B12" i="39" s="1"/>
  <c r="C35" i="39"/>
  <c r="B35" i="39"/>
  <c r="B11" i="39" s="1"/>
  <c r="C34" i="39"/>
  <c r="B34" i="39"/>
  <c r="C33" i="39"/>
  <c r="B33" i="39"/>
  <c r="B9" i="39" s="1"/>
  <c r="F32" i="39"/>
  <c r="E32" i="39"/>
  <c r="B26" i="39"/>
  <c r="F31" i="3" l="1"/>
  <c r="E31" i="3"/>
  <c r="AK12" i="31"/>
  <c r="AO12" i="31"/>
  <c r="AP12" i="31"/>
  <c r="AL12" i="31"/>
  <c r="AB2" i="30"/>
  <c r="AH2" i="30"/>
  <c r="AG2" i="32"/>
  <c r="AD3" i="31"/>
  <c r="D16" i="39"/>
  <c r="C9" i="39"/>
  <c r="D10" i="39"/>
  <c r="D11" i="39"/>
  <c r="D18" i="39"/>
  <c r="C19" i="39"/>
  <c r="D19" i="39"/>
  <c r="C12" i="39"/>
  <c r="D12" i="39"/>
  <c r="D15" i="39"/>
  <c r="C10" i="39"/>
  <c r="D17" i="39"/>
  <c r="C11" i="39"/>
  <c r="C18" i="39"/>
  <c r="C13" i="39"/>
  <c r="C14" i="39"/>
  <c r="D9" i="39"/>
  <c r="C15" i="39"/>
  <c r="C17" i="39"/>
  <c r="D14" i="39"/>
  <c r="C16" i="39"/>
  <c r="D13" i="39"/>
  <c r="F15" i="39"/>
  <c r="G17" i="39"/>
  <c r="G15" i="39"/>
  <c r="G13" i="39"/>
  <c r="G10" i="39"/>
  <c r="F17" i="39"/>
  <c r="G12" i="39"/>
  <c r="G9" i="39"/>
  <c r="F19" i="39"/>
  <c r="G16" i="39"/>
  <c r="G18" i="39"/>
  <c r="G14" i="39"/>
  <c r="F9" i="39"/>
  <c r="F12" i="39"/>
  <c r="F16" i="39"/>
  <c r="F18" i="39"/>
  <c r="G11" i="39"/>
  <c r="F13" i="39"/>
  <c r="F11" i="39"/>
  <c r="F14" i="39"/>
  <c r="F10" i="39"/>
  <c r="G19" i="39"/>
  <c r="D7" i="3"/>
  <c r="K7" i="3"/>
  <c r="M7" i="13"/>
  <c r="N7" i="13"/>
  <c r="P7" i="13"/>
  <c r="A8" i="30"/>
  <c r="A27" i="32"/>
  <c r="A42" i="32"/>
  <c r="A32" i="32"/>
  <c r="A37" i="32"/>
  <c r="A47" i="32"/>
  <c r="A22" i="32"/>
  <c r="A17" i="32"/>
  <c r="A12" i="32"/>
  <c r="A7" i="32"/>
  <c r="A18" i="31"/>
  <c r="A48" i="31"/>
  <c r="A13" i="31"/>
  <c r="A38" i="31"/>
  <c r="A33" i="31"/>
  <c r="A43" i="31"/>
  <c r="A28" i="31"/>
  <c r="A23" i="31"/>
  <c r="A8" i="31"/>
  <c r="R2" i="15"/>
  <c r="P2" i="15"/>
  <c r="J9" i="3"/>
  <c r="B19" i="39"/>
  <c r="O6" i="15"/>
  <c r="AA3" i="13"/>
  <c r="L9" i="3"/>
  <c r="AI7" i="13"/>
  <c r="J31" i="3" s="1"/>
  <c r="AD7" i="13"/>
  <c r="P2" i="30"/>
  <c r="R2" i="30"/>
  <c r="D9" i="3"/>
  <c r="B27" i="39"/>
  <c r="B25" i="39" s="1"/>
  <c r="B32" i="39"/>
  <c r="C32" i="39"/>
  <c r="B10" i="39"/>
  <c r="S5" i="32"/>
  <c r="AB6" i="32"/>
  <c r="AB5" i="32" s="1"/>
  <c r="Q5" i="32"/>
  <c r="AC6" i="32"/>
  <c r="AC5" i="32" s="1"/>
  <c r="R2" i="32"/>
  <c r="O6" i="31"/>
  <c r="Q6" i="31"/>
  <c r="AC3" i="13" l="1"/>
  <c r="C31" i="3"/>
  <c r="AM12" i="31"/>
  <c r="AQ12" i="31"/>
  <c r="AC2" i="32"/>
  <c r="AA3" i="31"/>
  <c r="AB2" i="32"/>
  <c r="Z3" i="31"/>
  <c r="J6" i="3"/>
  <c r="E20" i="3"/>
  <c r="D8" i="3"/>
  <c r="F8" i="3" s="1"/>
  <c r="L20" i="3"/>
  <c r="K8" i="3"/>
  <c r="M8" i="3" s="1"/>
  <c r="M7" i="3"/>
  <c r="Q7" i="13"/>
  <c r="Q2" i="31"/>
  <c r="O7" i="13"/>
  <c r="E9" i="3"/>
  <c r="E14" i="39"/>
  <c r="E19" i="39"/>
  <c r="E17" i="39"/>
  <c r="E16" i="39"/>
  <c r="E15" i="39"/>
  <c r="E12" i="39"/>
  <c r="E13" i="39"/>
  <c r="E18" i="39"/>
  <c r="E11" i="39"/>
  <c r="E9" i="39"/>
  <c r="E10" i="39"/>
  <c r="F14" i="3"/>
  <c r="F13" i="3"/>
  <c r="F15" i="3"/>
  <c r="F12" i="3"/>
  <c r="F11" i="3"/>
  <c r="AF8" i="31"/>
  <c r="S6" i="15"/>
  <c r="H18" i="39"/>
  <c r="I18" i="39"/>
  <c r="B8" i="39"/>
  <c r="Q6" i="15"/>
  <c r="S2" i="30"/>
  <c r="AF3" i="13"/>
  <c r="Q2" i="30"/>
  <c r="G25" i="39"/>
  <c r="H16" i="39"/>
  <c r="H14" i="39"/>
  <c r="H19" i="39"/>
  <c r="H10" i="39"/>
  <c r="I15" i="39"/>
  <c r="S2" i="32"/>
  <c r="H12" i="39"/>
  <c r="H13" i="39"/>
  <c r="I11" i="39"/>
  <c r="H17" i="39"/>
  <c r="H11" i="39"/>
  <c r="H15" i="39"/>
  <c r="I10" i="39"/>
  <c r="I19" i="39"/>
  <c r="Q2" i="32"/>
  <c r="I14" i="39"/>
  <c r="H9" i="39"/>
  <c r="G8" i="39"/>
  <c r="I17" i="39"/>
  <c r="I13" i="39"/>
  <c r="I16" i="39"/>
  <c r="I12" i="39"/>
  <c r="I9" i="39"/>
  <c r="F8" i="39"/>
  <c r="D8" i="39"/>
  <c r="C8" i="39"/>
  <c r="AN6" i="32" l="1"/>
  <c r="AN5" i="32"/>
  <c r="AK8" i="31"/>
  <c r="AP8" i="31"/>
  <c r="AO8" i="31"/>
  <c r="AO7" i="31" s="1"/>
  <c r="AL8" i="31"/>
  <c r="AL7" i="31" s="1"/>
  <c r="D6" i="3"/>
  <c r="D5" i="3" s="1"/>
  <c r="E5" i="3" s="1"/>
  <c r="K6" i="3"/>
  <c r="M6" i="3"/>
  <c r="D25" i="39"/>
  <c r="E27" i="39"/>
  <c r="L10" i="39"/>
  <c r="F10" i="3"/>
  <c r="F9" i="3" s="1"/>
  <c r="B9" i="3"/>
  <c r="H26" i="39"/>
  <c r="S2" i="15"/>
  <c r="Q2" i="15"/>
  <c r="M9" i="39"/>
  <c r="I26" i="39"/>
  <c r="H8" i="39"/>
  <c r="I27" i="39"/>
  <c r="F25" i="39"/>
  <c r="M10" i="39"/>
  <c r="I8" i="39"/>
  <c r="H27" i="39"/>
  <c r="E8" i="39"/>
  <c r="M5" i="3" l="1"/>
  <c r="N5" i="3" s="1"/>
  <c r="N6" i="3"/>
  <c r="AP7" i="31"/>
  <c r="AP6" i="31" s="1"/>
  <c r="AK7" i="31"/>
  <c r="AK6" i="31" s="1"/>
  <c r="AK3" i="31" s="1"/>
  <c r="AL6" i="31"/>
  <c r="AO6" i="31"/>
  <c r="AO3" i="31" s="1"/>
  <c r="AU7" i="13"/>
  <c r="E6" i="3"/>
  <c r="K5" i="3"/>
  <c r="L5" i="3" s="1"/>
  <c r="C9" i="3"/>
  <c r="B5" i="3"/>
  <c r="F7" i="3"/>
  <c r="F6" i="3" s="1"/>
  <c r="F5" i="3" s="1"/>
  <c r="C6" i="3"/>
  <c r="H25" i="39"/>
  <c r="M8" i="39"/>
  <c r="I25" i="39"/>
  <c r="N10" i="39"/>
  <c r="AM8" i="31" l="1"/>
  <c r="AM7" i="31" s="1"/>
  <c r="AQ8" i="31"/>
  <c r="AQ7" i="31" s="1"/>
  <c r="AQ6" i="31" s="1"/>
  <c r="C5" i="3"/>
  <c r="J5" i="3"/>
  <c r="L9" i="39"/>
  <c r="N9" i="39" l="1"/>
  <c r="L8" i="39"/>
  <c r="N8" i="39" s="1"/>
  <c r="E26" i="39"/>
  <c r="E25" i="39" s="1"/>
  <c r="C25" i="39"/>
  <c r="AW7" i="13" l="1"/>
  <c r="BC7" i="13"/>
  <c r="AV7" i="13"/>
  <c r="BD7" i="13"/>
  <c r="BE7" i="13"/>
  <c r="AX7" i="13"/>
  <c r="AM6" i="31"/>
  <c r="AK6" i="15"/>
  <c r="AH6" i="15"/>
  <c r="L6" i="3" l="1"/>
  <c r="AH3" i="13"/>
  <c r="M31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</authors>
  <commentList>
    <comment ref="E4" authorId="0" shapeId="0" xr:uid="{00000000-0006-0000-0400-000001000000}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400-000002000000}">
      <text>
        <r>
          <rPr>
            <sz val="20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" authorId="0" shapeId="0" xr:uid="{00000000-0006-0000-0400-000003000000}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입력)
</t>
        </r>
      </text>
    </comment>
    <comment ref="K4" authorId="0" shapeId="0" xr:uid="{5DB99C6C-2705-4B32-BAD3-264E7F4E7D74}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L4" authorId="0" shapeId="0" xr:uid="{F4BF594C-CAE2-4E0E-9BE9-8DE6DB42F733}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</authors>
  <commentList>
    <comment ref="E3" authorId="0" shapeId="0" xr:uid="{F4C8301D-85AF-445D-A380-F2162D47F3FF}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" authorId="0" shapeId="0" xr:uid="{A120A39F-2AE5-4044-B2EA-000A9F493A1C}">
      <text>
        <r>
          <rPr>
            <sz val="20"/>
            <color indexed="81"/>
            <rFont val="돋움"/>
            <family val="3"/>
            <charset val="129"/>
          </rPr>
          <t>2추 예산안에 포함된 경우 예산안 페이지 입력, 
나머지는 "-"입력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7E1CC431-A01E-404E-A977-323C742C0A48}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입력, 신규추가일 경우 "-" 입력
</t>
        </r>
      </text>
    </comment>
    <comment ref="M3" authorId="0" shapeId="0" xr:uid="{93CEFDB1-9B40-4570-9ED5-D385EA428159}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N3" authorId="0" shapeId="0" xr:uid="{BCF5C3F5-FAA0-47B8-B7A8-9776CDA66526}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</authors>
  <commentList>
    <comment ref="E3" authorId="0" shapeId="0" xr:uid="{A362B8CB-86CC-4F72-8045-1829E7D6A6CC}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 xr:uid="{0D2EF93F-1129-4900-88C4-AB4908C13A57}">
      <text>
        <r>
          <rPr>
            <sz val="20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53F0FBC9-48AF-48D8-8AD9-CBD15B4CB3A3}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입력, 신규추가일 경우 "-" 입력
</t>
        </r>
      </text>
    </comment>
    <comment ref="M3" authorId="0" shapeId="0" xr:uid="{A1AEA067-2403-4EF5-AEEB-2A3C9EC96C11}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N3" authorId="0" shapeId="0" xr:uid="{681F77DB-4FE8-4318-840A-B018BABB0DF0}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00000000-0006-0000-0700-000001000000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700-000002000000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4" authorId="0" shapeId="0" xr:uid="{00000000-0006-0000-0700-000003000000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K4" authorId="1" shapeId="0" xr:uid="{34A8DD75-6ED6-4EB5-A418-11B4F3F47A74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L4" authorId="1" shapeId="0" xr:uid="{A9289AEC-D3FF-4608-8E17-610AF3926809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686EBAFF-F1DA-4A36-AB39-1E0A7186C196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 xr:uid="{873C1724-4F9F-4734-BB5D-A4129FEC7C77}">
      <text>
        <r>
          <rPr>
            <sz val="22"/>
            <color indexed="81"/>
            <rFont val="돋움"/>
            <family val="3"/>
            <charset val="129"/>
          </rPr>
          <t>2추 예산안에 포함된 경우 예산안 페이지 입력, 
나머지는 "-"입력</t>
        </r>
      </text>
    </comment>
    <comment ref="G3" authorId="0" shapeId="0" xr:uid="{0CD00A1B-61BD-4387-BA28-0E5FDC96F2C3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3" authorId="1" shapeId="0" xr:uid="{67EB4D8D-649A-4D89-A5B2-D7479AD2E77B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3" authorId="1" shapeId="0" xr:uid="{8590E20C-AEC3-4F98-9DD0-C589F9652E6D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5B65DBF9-7BA9-4471-9AE2-59544738D9AF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4" authorId="0" shapeId="0" xr:uid="{4186DC27-6553-4AE3-81EC-4980F884363F}">
      <text>
        <r>
          <rPr>
            <sz val="22"/>
            <color indexed="81"/>
            <rFont val="돋움"/>
            <family val="3"/>
            <charset val="129"/>
          </rPr>
          <t>2추 예산안에 포함된 경우 예산안 페이지 입력, 
나머지는 "-"입력</t>
        </r>
      </text>
    </comment>
    <comment ref="G4" authorId="0" shapeId="0" xr:uid="{36012032-FA31-4C1A-AC11-38995F81FD5F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L4" authorId="1" shapeId="0" xr:uid="{8D67F057-8907-48E4-B270-04364B89CDBC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M4" authorId="1" shapeId="0" xr:uid="{8441AFBB-9B23-4954-A7B0-89BE405EF390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A708EDCE-524F-4F84-96A3-9C0B286EA6C8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 xr:uid="{CB6714CB-A523-4470-ADE9-117D8C18EB9C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3" authorId="0" shapeId="0" xr:uid="{2579882B-1854-420F-BCB7-35F7E1F9F3CD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3" authorId="1" shapeId="0" xr:uid="{E2BB1211-F0F0-4691-BC83-550A283A1DAC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3" authorId="1" shapeId="0" xr:uid="{D10BDB6A-CDDC-4A6C-A056-E4F813C97DC9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sharedStrings.xml><?xml version="1.0" encoding="utf-8"?>
<sst xmlns="http://schemas.openxmlformats.org/spreadsheetml/2006/main" count="3715" uniqueCount="1669">
  <si>
    <t>실국명</t>
  </si>
  <si>
    <t>실과명</t>
  </si>
  <si>
    <t>위원회명</t>
  </si>
  <si>
    <t>정렬순서</t>
  </si>
  <si>
    <t>의회운영위원회</t>
  </si>
  <si>
    <t>의회사무처</t>
  </si>
  <si>
    <t>언론협력담당관</t>
  </si>
  <si>
    <t>대변인</t>
  </si>
  <si>
    <t>보도기획담당관</t>
  </si>
  <si>
    <t>기획재정위원회</t>
  </si>
  <si>
    <t>기획담당관</t>
  </si>
  <si>
    <t>기획조정실</t>
  </si>
  <si>
    <t>예산담당관</t>
  </si>
  <si>
    <t>법무담당관</t>
  </si>
  <si>
    <t>행정심판담당관</t>
  </si>
  <si>
    <t>기획예산담당관</t>
  </si>
  <si>
    <t>균형발전기획실</t>
  </si>
  <si>
    <t>균형발전담당관</t>
  </si>
  <si>
    <t>기획행정과</t>
  </si>
  <si>
    <t>개발과</t>
  </si>
  <si>
    <t>투자유치과</t>
  </si>
  <si>
    <t>총무과</t>
  </si>
  <si>
    <t>안전행정위원회</t>
  </si>
  <si>
    <t>자치행정국</t>
  </si>
  <si>
    <t>자치행정과</t>
  </si>
  <si>
    <t>인사과</t>
  </si>
  <si>
    <t>세정과</t>
  </si>
  <si>
    <t>회계과</t>
  </si>
  <si>
    <t>소방행정과</t>
  </si>
  <si>
    <t>안전기획과</t>
  </si>
  <si>
    <t>소방행정기획과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</si>
  <si>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</si>
  <si>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</si>
  <si>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</si>
  <si>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</si>
  <si>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</si>
  <si>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</si>
  <si>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</si>
  <si>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</si>
  <si>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</si>
  <si>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</si>
  <si>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</si>
  <si>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</si>
  <si>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</si>
  <si>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</si>
  <si>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</si>
  <si>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</si>
  <si>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</si>
  <si>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</si>
  <si>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</si>
  <si>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</si>
  <si>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</si>
  <si>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</si>
  <si>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</si>
  <si>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</si>
  <si>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</si>
  <si>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</si>
  <si>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</si>
  <si>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</si>
  <si>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</si>
  <si>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</si>
  <si>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</si>
  <si>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</si>
  <si>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</si>
  <si>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</si>
  <si>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행정관리담당관</t>
  </si>
  <si>
    <t>비상기획담당관</t>
  </si>
  <si>
    <t>문화체육관광위원회</t>
  </si>
  <si>
    <t>문화체육관광국</t>
  </si>
  <si>
    <t>문화유산과</t>
  </si>
  <si>
    <t>농업정책과</t>
  </si>
  <si>
    <t>농정해양위원회</t>
  </si>
  <si>
    <t>농식품유통과</t>
  </si>
  <si>
    <t>친환경농업과</t>
  </si>
  <si>
    <t>해양수산자원연구소</t>
  </si>
  <si>
    <t>종자관리소</t>
  </si>
  <si>
    <t>축산정책과</t>
  </si>
  <si>
    <t>동물방역위생과</t>
  </si>
  <si>
    <t>산림환경연구소</t>
  </si>
  <si>
    <t>작물연구과</t>
  </si>
  <si>
    <t>원예연구과</t>
  </si>
  <si>
    <t>환경농업연구과</t>
  </si>
  <si>
    <t>기술보급과</t>
  </si>
  <si>
    <t>농촌자원과</t>
  </si>
  <si>
    <t>소득자원연구소</t>
  </si>
  <si>
    <t>선인장다육식물연구소</t>
  </si>
  <si>
    <t>보건복지위원회</t>
  </si>
  <si>
    <t>노인복지과</t>
  </si>
  <si>
    <t>장애인복지과</t>
  </si>
  <si>
    <t>건강증진과</t>
  </si>
  <si>
    <t>식품안전과</t>
  </si>
  <si>
    <t>북부지원</t>
  </si>
  <si>
    <t>건설교통위원회</t>
  </si>
  <si>
    <t>철도건설과</t>
  </si>
  <si>
    <t>교통국</t>
  </si>
  <si>
    <t>버스정책과</t>
  </si>
  <si>
    <t>건설국</t>
  </si>
  <si>
    <t>도로정책과</t>
  </si>
  <si>
    <t>하천과</t>
  </si>
  <si>
    <t>관리과</t>
  </si>
  <si>
    <t>도로건설과</t>
  </si>
  <si>
    <t>북부도로과</t>
  </si>
  <si>
    <t>건축시설과</t>
  </si>
  <si>
    <t>지역정책과</t>
  </si>
  <si>
    <t>도시환경위원회</t>
  </si>
  <si>
    <t>도시주택실</t>
  </si>
  <si>
    <t>자원순환과</t>
  </si>
  <si>
    <t>여성가족국</t>
  </si>
  <si>
    <t>보육정책과</t>
  </si>
  <si>
    <t>여성비전센터</t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</si>
  <si>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</si>
  <si>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</si>
  <si>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</si>
  <si>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</si>
  <si>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</si>
  <si>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</si>
  <si>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</si>
  <si>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</si>
  <si>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</si>
  <si>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</si>
  <si>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</si>
  <si>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</si>
  <si>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</si>
  <si>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</si>
  <si>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</si>
  <si>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</si>
  <si>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</si>
  <si>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</si>
  <si>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</si>
  <si>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(도시환경위원회)</t>
    <phoneticPr fontId="1" type="noConversion"/>
  </si>
  <si>
    <t>동일
세입
건수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</si>
  <si>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</si>
  <si>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</si>
  <si>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</si>
  <si>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</si>
  <si>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</si>
  <si>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</si>
  <si>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의회운영위원회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</si>
  <si>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</si>
  <si>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</si>
  <si>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</si>
  <si>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감 액</t>
    <phoneticPr fontId="1" type="noConversion"/>
  </si>
  <si>
    <t>증 액</t>
    <phoneticPr fontId="1" type="noConversion"/>
  </si>
  <si>
    <t>특별회계</t>
    <phoneticPr fontId="1" type="noConversion"/>
  </si>
  <si>
    <t>공기업특별회계</t>
    <phoneticPr fontId="1" type="noConversion"/>
  </si>
  <si>
    <t>예비비</t>
    <phoneticPr fontId="1" type="noConversion"/>
  </si>
  <si>
    <t>세입</t>
    <phoneticPr fontId="1" type="noConversion"/>
  </si>
  <si>
    <t>세출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</si>
  <si>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</si>
  <si>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</si>
  <si>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</si>
  <si>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</si>
  <si>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</si>
  <si>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</si>
  <si>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</si>
  <si>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</si>
  <si>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</si>
  <si>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</si>
  <si>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</si>
  <si>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</si>
  <si>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</si>
  <si>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</si>
  <si>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</si>
  <si>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</si>
  <si>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</si>
  <si>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</si>
  <si>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</si>
  <si>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</si>
  <si>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</si>
  <si>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</si>
  <si>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</si>
  <si>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</si>
  <si>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</si>
  <si>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</si>
  <si>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</si>
  <si>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</si>
  <si>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</si>
  <si>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</si>
  <si>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수질정책과</t>
  </si>
  <si>
    <t>수질관리과</t>
  </si>
  <si>
    <t>상하수과</t>
  </si>
  <si>
    <t>수질총량과</t>
  </si>
  <si>
    <t>여성정책과</t>
  </si>
  <si>
    <t>증감액</t>
    <phoneticPr fontId="1" type="noConversion"/>
  </si>
  <si>
    <t>번호</t>
    <phoneticPr fontId="1" type="noConversion"/>
  </si>
  <si>
    <t>부서명</t>
    <phoneticPr fontId="1" type="noConversion"/>
  </si>
  <si>
    <t>사회재난과</t>
  </si>
  <si>
    <t>자연재난과</t>
  </si>
  <si>
    <t>식품의약품연구부</t>
  </si>
  <si>
    <t>감염병연구부</t>
  </si>
  <si>
    <t>물환경연구부</t>
  </si>
  <si>
    <t xml:space="preserve"> </t>
    <phoneticPr fontId="1" type="noConversion"/>
  </si>
  <si>
    <t>노동정책과</t>
  </si>
  <si>
    <t>교통정보과</t>
  </si>
  <si>
    <t>홍보기획관</t>
  </si>
  <si>
    <t>안전관리실</t>
  </si>
  <si>
    <t>평화협력국</t>
  </si>
  <si>
    <t>소방재난본부</t>
  </si>
  <si>
    <t>안전특별점검단</t>
  </si>
  <si>
    <t>열린민원실</t>
  </si>
  <si>
    <t>조세정의과</t>
  </si>
  <si>
    <t>평생교육과</t>
  </si>
  <si>
    <t>친환경급식지원센터</t>
  </si>
  <si>
    <t>회계담당관</t>
  </si>
  <si>
    <t>도로안전과</t>
  </si>
  <si>
    <t>평화협력과</t>
  </si>
  <si>
    <t>평화기반조성과</t>
  </si>
  <si>
    <t>DMZ정책과</t>
  </si>
  <si>
    <t>공동체지원과</t>
  </si>
  <si>
    <t>농수산물검사부</t>
  </si>
  <si>
    <t>균특</t>
  </si>
  <si>
    <t>공공기관담당관</t>
  </si>
  <si>
    <t>인구정책담당관</t>
  </si>
  <si>
    <t>자산관리과</t>
  </si>
  <si>
    <t>복지국</t>
  </si>
  <si>
    <t>복지사업과</t>
  </si>
  <si>
    <t>보건건강국</t>
  </si>
  <si>
    <t>예술정책과</t>
  </si>
  <si>
    <t>해양수산과</t>
  </si>
  <si>
    <t>여성가족평생교육위원회</t>
  </si>
  <si>
    <t>청소년과</t>
  </si>
  <si>
    <t>아동돌봄과</t>
  </si>
  <si>
    <t>일자리경제정책과</t>
  </si>
  <si>
    <t>노동국</t>
  </si>
  <si>
    <t>노동권익과</t>
  </si>
  <si>
    <t>광역교통정책과</t>
  </si>
  <si>
    <t>택시교통과</t>
  </si>
  <si>
    <t>철도정책과</t>
  </si>
  <si>
    <t>철도항만물류국</t>
  </si>
  <si>
    <t>철도운영과</t>
  </si>
  <si>
    <t>물류항만과</t>
  </si>
  <si>
    <t>인권담당관</t>
  </si>
  <si>
    <t>중앙협력본부</t>
  </si>
  <si>
    <t>재난대응과</t>
  </si>
  <si>
    <t>구조구급과</t>
  </si>
  <si>
    <t>수원남부소방서</t>
  </si>
  <si>
    <t>전문위원실</t>
  </si>
  <si>
    <t>경제노동위원회</t>
  </si>
  <si>
    <t>기획재정위원회</t>
    <phoneticPr fontId="1" type="noConversion"/>
  </si>
  <si>
    <t>경제노동위원회</t>
    <phoneticPr fontId="1" type="noConversion"/>
  </si>
  <si>
    <t>안전행정위원회</t>
    <phoneticPr fontId="1" type="noConversion"/>
  </si>
  <si>
    <t>건설교통위원회</t>
    <phoneticPr fontId="1" type="noConversion"/>
  </si>
  <si>
    <t>여성가족평생교육위원회</t>
    <phoneticPr fontId="1" type="noConversion"/>
  </si>
  <si>
    <t>(여성가족평생교육위원회)</t>
    <phoneticPr fontId="1" type="noConversion"/>
  </si>
  <si>
    <t>국도비
등
여부</t>
    <phoneticPr fontId="1" type="noConversion"/>
  </si>
  <si>
    <t>총괄 현황</t>
    <phoneticPr fontId="1" type="noConversion"/>
  </si>
  <si>
    <t xml:space="preserve">경기도의회 예산결산특별위원회 </t>
    <phoneticPr fontId="1" type="noConversion"/>
  </si>
  <si>
    <t>계</t>
    <phoneticPr fontId="1" type="noConversion"/>
  </si>
  <si>
    <t>□ 위원회별 조정현황</t>
    <phoneticPr fontId="1" type="noConversion"/>
  </si>
  <si>
    <t>□ 회계별 조정현황</t>
    <phoneticPr fontId="1" type="noConversion"/>
  </si>
  <si>
    <t>※ 위원회별, 회계별 집행부제출안(예산담당관에서 작성)</t>
    <phoneticPr fontId="1" type="noConversion"/>
  </si>
  <si>
    <t>실국별
사업
설명서
페이지</t>
    <phoneticPr fontId="1" type="noConversion"/>
  </si>
  <si>
    <t>합 계</t>
    <phoneticPr fontId="1" type="noConversion"/>
  </si>
  <si>
    <t>상임위동의
대상</t>
    <phoneticPr fontId="1" type="noConversion"/>
  </si>
  <si>
    <t>상임위 부대의견</t>
    <phoneticPr fontId="1" type="noConversion"/>
  </si>
  <si>
    <t>참고자료
(관련공문)</t>
    <phoneticPr fontId="1" type="noConversion"/>
  </si>
  <si>
    <t>예비
심사시
집행부
동의여부</t>
    <phoneticPr fontId="1" type="noConversion"/>
  </si>
  <si>
    <t>예결특위 부대의견</t>
    <phoneticPr fontId="1" type="noConversion"/>
  </si>
  <si>
    <t>상임위
동의
대상</t>
    <phoneticPr fontId="1" type="noConversion"/>
  </si>
  <si>
    <t>(소방안전)</t>
    <phoneticPr fontId="1" type="noConversion"/>
  </si>
  <si>
    <t>소교</t>
    <phoneticPr fontId="1" type="noConversion"/>
  </si>
  <si>
    <t>예비비 증감
 - 감액,
+ 증액에 입력</t>
    <phoneticPr fontId="1" type="noConversion"/>
  </si>
  <si>
    <t>공정경제과</t>
  </si>
  <si>
    <t>장애인자립지원과</t>
  </si>
  <si>
    <t>정신건강과</t>
  </si>
  <si>
    <t>예방과</t>
  </si>
  <si>
    <t>대응과</t>
  </si>
  <si>
    <t>실국의견
청취대상</t>
    <phoneticPr fontId="1" type="noConversion"/>
  </si>
  <si>
    <t>예결특위 부대의견
(비공개)</t>
    <phoneticPr fontId="1" type="noConversion"/>
  </si>
  <si>
    <t>편성목</t>
    <phoneticPr fontId="1" type="noConversion"/>
  </si>
  <si>
    <t>통계목</t>
    <phoneticPr fontId="1" type="noConversion"/>
  </si>
  <si>
    <t>편성목</t>
    <phoneticPr fontId="1" type="noConversion"/>
  </si>
  <si>
    <t>경기경제자유구역청</t>
  </si>
  <si>
    <t>민간경상사업보조</t>
  </si>
  <si>
    <t>재료비</t>
  </si>
  <si>
    <t>농정해양위원회</t>
    <phoneticPr fontId="1" type="noConversion"/>
  </si>
  <si>
    <t>안전행정위원회</t>
    <phoneticPr fontId="1" type="noConversion"/>
  </si>
  <si>
    <t>경제노동위원회</t>
    <phoneticPr fontId="1" type="noConversion"/>
  </si>
  <si>
    <t>기타특별회계</t>
    <phoneticPr fontId="1" type="noConversion"/>
  </si>
  <si>
    <t>일반회계</t>
    <phoneticPr fontId="1" type="noConversion"/>
  </si>
  <si>
    <t>일반+기타</t>
    <phoneticPr fontId="1" type="noConversion"/>
  </si>
  <si>
    <t>합계</t>
    <phoneticPr fontId="1" type="noConversion"/>
  </si>
  <si>
    <t>위원회명</t>
    <phoneticPr fontId="1" type="noConversion"/>
  </si>
  <si>
    <t>일반회계</t>
    <phoneticPr fontId="1" type="noConversion"/>
  </si>
  <si>
    <t>계</t>
    <phoneticPr fontId="1" type="noConversion"/>
  </si>
  <si>
    <t>증 액</t>
    <phoneticPr fontId="1" type="noConversion"/>
  </si>
  <si>
    <t>감 액</t>
    <phoneticPr fontId="1" type="noConversion"/>
  </si>
  <si>
    <t>감 액</t>
    <phoneticPr fontId="1" type="noConversion"/>
  </si>
  <si>
    <t>세출예산(안)</t>
    <phoneticPr fontId="1" type="noConversion"/>
  </si>
  <si>
    <t>세입예산(안)</t>
    <phoneticPr fontId="1" type="noConversion"/>
  </si>
  <si>
    <t>문화체육관광위원회</t>
    <phoneticPr fontId="1" type="noConversion"/>
  </si>
  <si>
    <t>특별회계</t>
    <phoneticPr fontId="1" type="noConversion"/>
  </si>
  <si>
    <t>구  분</t>
    <phoneticPr fontId="1" type="noConversion"/>
  </si>
  <si>
    <t>증감액</t>
    <phoneticPr fontId="1" type="noConversion"/>
  </si>
  <si>
    <t>증 액</t>
    <phoneticPr fontId="1" type="noConversion"/>
  </si>
  <si>
    <t>※ 예산안 증감현황</t>
    <phoneticPr fontId="1" type="noConversion"/>
  </si>
  <si>
    <t>자치단체자본보조</t>
  </si>
  <si>
    <t>(단위 : 천원)</t>
    <phoneticPr fontId="1" type="noConversion"/>
  </si>
  <si>
    <t>부대의견</t>
    <phoneticPr fontId="1" type="noConversion"/>
  </si>
  <si>
    <t xml:space="preserve">(단위 : 천원) </t>
    <phoneticPr fontId="1" type="noConversion"/>
  </si>
  <si>
    <t>상임위 계수조정 결과</t>
    <phoneticPr fontId="1" type="noConversion"/>
  </si>
  <si>
    <t>보수</t>
  </si>
  <si>
    <t>101-02</t>
    <phoneticPr fontId="89" type="noConversion"/>
  </si>
  <si>
    <t>101-03</t>
    <phoneticPr fontId="89" type="noConversion"/>
  </si>
  <si>
    <t>101-04</t>
  </si>
  <si>
    <t>201-01</t>
    <phoneticPr fontId="89" type="noConversion"/>
  </si>
  <si>
    <t>사무관리비</t>
  </si>
  <si>
    <t>201-02</t>
    <phoneticPr fontId="89" type="noConversion"/>
  </si>
  <si>
    <t>공공운영비</t>
  </si>
  <si>
    <t>201-03</t>
  </si>
  <si>
    <t>행사운영비</t>
  </si>
  <si>
    <t>201-04</t>
  </si>
  <si>
    <t>201-05</t>
  </si>
  <si>
    <t>국내여비</t>
  </si>
  <si>
    <t>202-02</t>
  </si>
  <si>
    <t>월액여비</t>
  </si>
  <si>
    <t>202-03</t>
  </si>
  <si>
    <t>국외업무여비</t>
  </si>
  <si>
    <t>202-04</t>
  </si>
  <si>
    <t>국제화여비</t>
  </si>
  <si>
    <t>202-05</t>
  </si>
  <si>
    <t>공무원 교육여비</t>
  </si>
  <si>
    <t>203-01</t>
    <phoneticPr fontId="89" type="noConversion"/>
  </si>
  <si>
    <t>기관운영업무추진비</t>
  </si>
  <si>
    <t>203-02</t>
  </si>
  <si>
    <t>정원가산업무추진비</t>
  </si>
  <si>
    <t>203-03</t>
  </si>
  <si>
    <t>시책추진업무추진비</t>
  </si>
  <si>
    <t>203-04</t>
  </si>
  <si>
    <t>부서운영업무추진비</t>
  </si>
  <si>
    <t>204-01</t>
    <phoneticPr fontId="89" type="noConversion"/>
  </si>
  <si>
    <t>직책급업무수행경비</t>
  </si>
  <si>
    <t>204-02</t>
  </si>
  <si>
    <t>특정업무경비</t>
  </si>
  <si>
    <t>205-01</t>
  </si>
  <si>
    <t>의정활동비</t>
  </si>
  <si>
    <t>205-02</t>
  </si>
  <si>
    <t>월정수당</t>
  </si>
  <si>
    <t>205-03</t>
  </si>
  <si>
    <t>의원국내여비</t>
  </si>
  <si>
    <t>205-04</t>
  </si>
  <si>
    <t>의원국외여비</t>
  </si>
  <si>
    <t>205-05</t>
  </si>
  <si>
    <t>의정운영공통경비</t>
  </si>
  <si>
    <t>205-06</t>
  </si>
  <si>
    <t>의회운영업무추진비</t>
  </si>
  <si>
    <t>205-07</t>
  </si>
  <si>
    <t>의원역량개발비(공공위탁,자체교육)</t>
  </si>
  <si>
    <t>205-08</t>
  </si>
  <si>
    <t>의원역량개발비(민간위탁)</t>
  </si>
  <si>
    <t>205-09</t>
  </si>
  <si>
    <t>205-10</t>
  </si>
  <si>
    <t>205-11</t>
  </si>
  <si>
    <t>205-12</t>
    <phoneticPr fontId="17" type="noConversion"/>
  </si>
  <si>
    <t>206-01</t>
  </si>
  <si>
    <t>207-01</t>
  </si>
  <si>
    <t>연구용역비</t>
  </si>
  <si>
    <t>207-02</t>
  </si>
  <si>
    <t>전산개발비</t>
  </si>
  <si>
    <t>207-03</t>
  </si>
  <si>
    <t>시험연구비</t>
  </si>
  <si>
    <t>301-01</t>
  </si>
  <si>
    <t>301-02</t>
  </si>
  <si>
    <t>301-03</t>
  </si>
  <si>
    <t>301-04</t>
  </si>
  <si>
    <t>301-05</t>
  </si>
  <si>
    <t>301-06</t>
  </si>
  <si>
    <t>301-07</t>
  </si>
  <si>
    <t>301-08</t>
  </si>
  <si>
    <t>301-09</t>
  </si>
  <si>
    <t>301-10</t>
  </si>
  <si>
    <t>301-11</t>
  </si>
  <si>
    <t>301-12</t>
  </si>
  <si>
    <t>302-01</t>
  </si>
  <si>
    <t>민간인이주보상금</t>
  </si>
  <si>
    <t>302-02</t>
  </si>
  <si>
    <t>303-01</t>
  </si>
  <si>
    <t>포상금</t>
  </si>
  <si>
    <t>304-01</t>
    <phoneticPr fontId="89" type="noConversion"/>
  </si>
  <si>
    <t>연금부담금</t>
  </si>
  <si>
    <t>304-02</t>
  </si>
  <si>
    <t>국민건강보험금</t>
  </si>
  <si>
    <t>304-03</t>
  </si>
  <si>
    <t>의원상해부담금</t>
  </si>
  <si>
    <t>305-01</t>
  </si>
  <si>
    <t>배상금등</t>
  </si>
  <si>
    <t>306-01</t>
  </si>
  <si>
    <t>출연금</t>
  </si>
  <si>
    <t>307-01</t>
  </si>
  <si>
    <t>307-02</t>
  </si>
  <si>
    <t>307-03</t>
  </si>
  <si>
    <t>307-04</t>
  </si>
  <si>
    <t>민간행사사업보조</t>
  </si>
  <si>
    <t>307-05</t>
  </si>
  <si>
    <t>민간위탁금</t>
  </si>
  <si>
    <t>307-06</t>
  </si>
  <si>
    <t>보험금</t>
  </si>
  <si>
    <t>307-07</t>
  </si>
  <si>
    <t>연금지급금</t>
  </si>
  <si>
    <t>307-08</t>
  </si>
  <si>
    <t>이차보전금</t>
  </si>
  <si>
    <t>307-09</t>
  </si>
  <si>
    <t>운수업계보조금</t>
  </si>
  <si>
    <t>307-10</t>
  </si>
  <si>
    <t>307-11</t>
  </si>
  <si>
    <t>사회복지사업보조</t>
  </si>
  <si>
    <t>307-12</t>
  </si>
  <si>
    <t>민간인위탁교육비</t>
  </si>
  <si>
    <t>308-01</t>
  </si>
  <si>
    <t>308-02</t>
  </si>
  <si>
    <t>징수교부금</t>
  </si>
  <si>
    <t>308-03</t>
  </si>
  <si>
    <t>308-04</t>
  </si>
  <si>
    <t>308-05</t>
  </si>
  <si>
    <t>308-06</t>
  </si>
  <si>
    <t>308-07</t>
  </si>
  <si>
    <t>308-08</t>
  </si>
  <si>
    <t>308-09</t>
  </si>
  <si>
    <t>309-01</t>
    <phoneticPr fontId="89" type="noConversion"/>
  </si>
  <si>
    <t>309-02</t>
  </si>
  <si>
    <t>310-01</t>
  </si>
  <si>
    <t>국외경상이전</t>
  </si>
  <si>
    <t>310-02</t>
  </si>
  <si>
    <t>국제부담금</t>
  </si>
  <si>
    <t>311-01</t>
  </si>
  <si>
    <t>311-02</t>
  </si>
  <si>
    <t>311-03</t>
  </si>
  <si>
    <t>311-04</t>
  </si>
  <si>
    <t>311-05</t>
  </si>
  <si>
    <t>401-01</t>
  </si>
  <si>
    <t>시설비</t>
  </si>
  <si>
    <t>401-02</t>
  </si>
  <si>
    <t>감리비</t>
  </si>
  <si>
    <t>401-03</t>
  </si>
  <si>
    <t>시설부대비</t>
  </si>
  <si>
    <t>401-04</t>
  </si>
  <si>
    <t>행사관련시설비</t>
  </si>
  <si>
    <t>402-01</t>
  </si>
  <si>
    <t>민간자본사업보조(자체재원)</t>
  </si>
  <si>
    <t>402-02</t>
  </si>
  <si>
    <t>민간자본사업보조(이전재원)</t>
  </si>
  <si>
    <t>402-03</t>
  </si>
  <si>
    <t>403-01</t>
  </si>
  <si>
    <t>403-02</t>
  </si>
  <si>
    <t>403-03</t>
  </si>
  <si>
    <t>예비군육성지원자본보조</t>
  </si>
  <si>
    <t>404-01</t>
  </si>
  <si>
    <t>공사·공단자본전출금</t>
  </si>
  <si>
    <t>405-01</t>
    <phoneticPr fontId="89" type="noConversion"/>
  </si>
  <si>
    <t>405-02</t>
  </si>
  <si>
    <t>도서구입비</t>
  </si>
  <si>
    <t>406-01</t>
  </si>
  <si>
    <t>기타자본이전</t>
  </si>
  <si>
    <t>407-01</t>
  </si>
  <si>
    <t>국외자본이전</t>
  </si>
  <si>
    <t>501-01</t>
  </si>
  <si>
    <t>민간융자금</t>
  </si>
  <si>
    <t>501-02</t>
  </si>
  <si>
    <t>501-03</t>
  </si>
  <si>
    <t>501-04</t>
  </si>
  <si>
    <t>502-01</t>
  </si>
  <si>
    <t>출자금</t>
  </si>
  <si>
    <t>601-01</t>
  </si>
  <si>
    <t>601-02</t>
  </si>
  <si>
    <t>601-03</t>
  </si>
  <si>
    <t>601-04</t>
  </si>
  <si>
    <t>601-05</t>
  </si>
  <si>
    <t>601-06</t>
  </si>
  <si>
    <t>차관상환</t>
  </si>
  <si>
    <t>601-07</t>
  </si>
  <si>
    <t>602-01</t>
  </si>
  <si>
    <t>602-02</t>
    <phoneticPr fontId="17" type="noConversion"/>
  </si>
  <si>
    <t>701-01</t>
  </si>
  <si>
    <t>701-02</t>
  </si>
  <si>
    <t>701-03</t>
  </si>
  <si>
    <t>702-01</t>
  </si>
  <si>
    <t>기금전출금</t>
  </si>
  <si>
    <t>703-01</t>
  </si>
  <si>
    <t>703-02</t>
  </si>
  <si>
    <t>704-01</t>
  </si>
  <si>
    <t>예탁금</t>
  </si>
  <si>
    <t>705-01</t>
  </si>
  <si>
    <t>705-02</t>
  </si>
  <si>
    <t>705-03</t>
  </si>
  <si>
    <t>705-04</t>
  </si>
  <si>
    <t>706-01</t>
  </si>
  <si>
    <t>감가상각비</t>
  </si>
  <si>
    <t>706-02</t>
  </si>
  <si>
    <t>당기순이익</t>
  </si>
  <si>
    <t>706-03</t>
  </si>
  <si>
    <t>적립금</t>
  </si>
  <si>
    <t>801-01</t>
  </si>
  <si>
    <t>일반예비비</t>
  </si>
  <si>
    <t>801-02</t>
  </si>
  <si>
    <t>재해·재난목적예비비</t>
  </si>
  <si>
    <t>801-03</t>
  </si>
  <si>
    <t>내부유보금</t>
  </si>
  <si>
    <t>802-01</t>
  </si>
  <si>
    <t>802-02</t>
  </si>
  <si>
    <t>802-03</t>
  </si>
  <si>
    <t>802-04</t>
  </si>
  <si>
    <t>잡손금</t>
  </si>
  <si>
    <t>통계목코드</t>
    <phoneticPr fontId="1" type="noConversion"/>
  </si>
  <si>
    <t>목명</t>
    <phoneticPr fontId="1" type="noConversion"/>
  </si>
  <si>
    <t>부기명</t>
    <phoneticPr fontId="1" type="noConversion"/>
  </si>
  <si>
    <t>목코드</t>
    <phoneticPr fontId="1" type="noConversion"/>
  </si>
  <si>
    <t>인건비</t>
    <phoneticPr fontId="1" type="noConversion"/>
  </si>
  <si>
    <t>인건비</t>
    <phoneticPr fontId="17" type="noConversion"/>
  </si>
  <si>
    <t>일반운영비</t>
    <phoneticPr fontId="1" type="noConversion"/>
  </si>
  <si>
    <t>여비</t>
    <phoneticPr fontId="1" type="noConversion"/>
  </si>
  <si>
    <t>업무추진비</t>
    <phoneticPr fontId="1" type="noConversion"/>
  </si>
  <si>
    <t>직무수행경비</t>
    <phoneticPr fontId="1" type="noConversion"/>
  </si>
  <si>
    <t>의회비</t>
    <phoneticPr fontId="1" type="noConversion"/>
  </si>
  <si>
    <t>재료비</t>
    <phoneticPr fontId="1" type="noConversion"/>
  </si>
  <si>
    <t>연구개발비</t>
    <phoneticPr fontId="1" type="noConversion"/>
  </si>
  <si>
    <t>일반보전금</t>
    <phoneticPr fontId="1" type="noConversion"/>
  </si>
  <si>
    <t>일반보전금</t>
    <phoneticPr fontId="17" type="noConversion"/>
  </si>
  <si>
    <t>이주 및 재해 보상금</t>
    <phoneticPr fontId="1" type="noConversion"/>
  </si>
  <si>
    <t>연금 부담금 등</t>
    <phoneticPr fontId="1" type="noConversion"/>
  </si>
  <si>
    <t>배상금 등</t>
    <phoneticPr fontId="1" type="noConversion"/>
  </si>
  <si>
    <t>출연금</t>
    <phoneticPr fontId="1" type="noConversion"/>
  </si>
  <si>
    <t>민간이전</t>
    <phoneticPr fontId="17" type="noConversion"/>
  </si>
  <si>
    <t>민간이전</t>
    <phoneticPr fontId="1" type="noConversion"/>
  </si>
  <si>
    <t>자치단체등 이전</t>
    <phoneticPr fontId="17" type="noConversion"/>
  </si>
  <si>
    <t>전출금</t>
    <phoneticPr fontId="17" type="noConversion"/>
  </si>
  <si>
    <t>국외이전</t>
    <phoneticPr fontId="1" type="noConversion"/>
  </si>
  <si>
    <t>차입금 이자상환</t>
    <phoneticPr fontId="17" type="noConversion"/>
  </si>
  <si>
    <t>시설비 및 부대비</t>
    <phoneticPr fontId="1" type="noConversion"/>
  </si>
  <si>
    <t>민간자본이전</t>
    <phoneticPr fontId="1" type="noConversion"/>
  </si>
  <si>
    <t>자치단체등 자본이전</t>
    <phoneticPr fontId="1" type="noConversion"/>
  </si>
  <si>
    <t>공사공단 자본전출금</t>
    <phoneticPr fontId="1" type="noConversion"/>
  </si>
  <si>
    <t>자산취득비</t>
    <phoneticPr fontId="89" type="noConversion"/>
  </si>
  <si>
    <t>자산취득비</t>
    <phoneticPr fontId="1" type="noConversion"/>
  </si>
  <si>
    <t>기타자본이전</t>
    <phoneticPr fontId="1" type="noConversion"/>
  </si>
  <si>
    <t>국외자본이전</t>
    <phoneticPr fontId="1" type="noConversion"/>
  </si>
  <si>
    <t>융자금</t>
    <phoneticPr fontId="1" type="noConversion"/>
  </si>
  <si>
    <t>융자금</t>
    <phoneticPr fontId="17" type="noConversion"/>
  </si>
  <si>
    <t>출자금</t>
    <phoneticPr fontId="1" type="noConversion"/>
  </si>
  <si>
    <t>차입금원금상환</t>
    <phoneticPr fontId="17" type="noConversion"/>
  </si>
  <si>
    <t>예치금</t>
    <phoneticPr fontId="17" type="noConversion"/>
  </si>
  <si>
    <t>기타회계 등 전출금</t>
    <phoneticPr fontId="17" type="noConversion"/>
  </si>
  <si>
    <t>기금전출금</t>
    <phoneticPr fontId="1" type="noConversion"/>
  </si>
  <si>
    <t>교육비특별회계전출금</t>
    <phoneticPr fontId="1" type="noConversion"/>
  </si>
  <si>
    <t>예탁금</t>
    <phoneticPr fontId="1" type="noConversion"/>
  </si>
  <si>
    <t>예수금 원리금상환</t>
    <phoneticPr fontId="17" type="noConversion"/>
  </si>
  <si>
    <t>기타내부거래</t>
    <phoneticPr fontId="1" type="noConversion"/>
  </si>
  <si>
    <t>반환금기타</t>
    <phoneticPr fontId="17" type="noConversion"/>
  </si>
  <si>
    <t>통계목코드</t>
    <phoneticPr fontId="1" type="noConversion"/>
  </si>
  <si>
    <t>111-01</t>
    <phoneticPr fontId="1" type="noConversion"/>
  </si>
  <si>
    <t>취득세</t>
    <phoneticPr fontId="1" type="noConversion"/>
  </si>
  <si>
    <t>100 지방세수입</t>
  </si>
  <si>
    <t>110 지방세</t>
  </si>
  <si>
    <t>111 보통세</t>
  </si>
  <si>
    <t>112 목적세</t>
  </si>
  <si>
    <t>200 세외수입</t>
  </si>
  <si>
    <t>210 경상적세외수입</t>
  </si>
  <si>
    <t>211 재산임대수입</t>
  </si>
  <si>
    <t>212 사용료수입</t>
  </si>
  <si>
    <t>213 수수료수입</t>
  </si>
  <si>
    <t>214 사업수입</t>
  </si>
  <si>
    <t>215 징수교부금수입</t>
  </si>
  <si>
    <t>216 이자수입</t>
  </si>
  <si>
    <t>220 임시적세외수입</t>
  </si>
  <si>
    <t>221 재산매각수입</t>
  </si>
  <si>
    <t>222 자치단체간부담금</t>
  </si>
  <si>
    <t>223 보조금반환수입</t>
  </si>
  <si>
    <t>224 기타수입</t>
  </si>
  <si>
    <t>230 지방행정제재·부과금</t>
  </si>
  <si>
    <t>231 과징금</t>
  </si>
  <si>
    <t>232 이행강제금</t>
  </si>
  <si>
    <t>233 변상금</t>
  </si>
  <si>
    <t>234 과태료</t>
  </si>
  <si>
    <t>235 환수금</t>
  </si>
  <si>
    <t>236 부담금</t>
  </si>
  <si>
    <t>300 지방교부세</t>
  </si>
  <si>
    <t>310 지방교부세</t>
  </si>
  <si>
    <t>311 지방교부세</t>
  </si>
  <si>
    <t>400 조정교부금등</t>
  </si>
  <si>
    <t>410 자치구조정교부금등</t>
  </si>
  <si>
    <t>411 자치구조정교부금등</t>
  </si>
  <si>
    <t>420 시군조정교부금등</t>
  </si>
  <si>
    <t>421 시군조정교부금등</t>
  </si>
  <si>
    <t>500 보조금</t>
  </si>
  <si>
    <t>510 국고보조금등</t>
  </si>
  <si>
    <t>511 국고보조금등</t>
  </si>
  <si>
    <t>520 시도비보조금등</t>
  </si>
  <si>
    <t>521 시도비보조금등</t>
  </si>
  <si>
    <t>600 지방채</t>
  </si>
  <si>
    <t>610 국내차입금</t>
  </si>
  <si>
    <t>611 차입금</t>
  </si>
  <si>
    <t>612 지방채증권</t>
  </si>
  <si>
    <t>613 지역개발기금</t>
  </si>
  <si>
    <t>620 국외차입금</t>
  </si>
  <si>
    <t>621 국외차입금</t>
  </si>
  <si>
    <t>700 보전수입 등 및 내부거래</t>
  </si>
  <si>
    <t>710 보전수입 등</t>
  </si>
  <si>
    <t>711 잉여금</t>
  </si>
  <si>
    <t>712 전년도 이월금</t>
  </si>
  <si>
    <t>713 융자금원금수입</t>
  </si>
  <si>
    <t>714 예치금회수</t>
  </si>
  <si>
    <t>720 내부거래</t>
  </si>
  <si>
    <t>721 전입금</t>
  </si>
  <si>
    <t>722 예탁금 및 예수금</t>
  </si>
  <si>
    <t>111-02</t>
    <phoneticPr fontId="1" type="noConversion"/>
  </si>
  <si>
    <t>111-03</t>
    <phoneticPr fontId="1" type="noConversion"/>
  </si>
  <si>
    <t>111-04</t>
    <phoneticPr fontId="1" type="noConversion"/>
  </si>
  <si>
    <t>111-06</t>
    <phoneticPr fontId="1" type="noConversion"/>
  </si>
  <si>
    <t>111-07</t>
    <phoneticPr fontId="1" type="noConversion"/>
  </si>
  <si>
    <t>111-08</t>
    <phoneticPr fontId="1" type="noConversion"/>
  </si>
  <si>
    <t>111-09</t>
    <phoneticPr fontId="1" type="noConversion"/>
  </si>
  <si>
    <t>112-02</t>
    <phoneticPr fontId="1" type="noConversion"/>
  </si>
  <si>
    <t>211-01</t>
    <phoneticPr fontId="1" type="noConversion"/>
  </si>
  <si>
    <t>211-02</t>
    <phoneticPr fontId="1" type="noConversion"/>
  </si>
  <si>
    <t>212-01</t>
    <phoneticPr fontId="1" type="noConversion"/>
  </si>
  <si>
    <t>212-02</t>
    <phoneticPr fontId="1" type="noConversion"/>
  </si>
  <si>
    <t>212-03</t>
    <phoneticPr fontId="1" type="noConversion"/>
  </si>
  <si>
    <t>212-04</t>
    <phoneticPr fontId="1" type="noConversion"/>
  </si>
  <si>
    <t>212-05</t>
    <phoneticPr fontId="1" type="noConversion"/>
  </si>
  <si>
    <t>212-07</t>
    <phoneticPr fontId="1" type="noConversion"/>
  </si>
  <si>
    <t>212-08</t>
    <phoneticPr fontId="1" type="noConversion"/>
  </si>
  <si>
    <t>212-09</t>
    <phoneticPr fontId="1" type="noConversion"/>
  </si>
  <si>
    <t>213-03</t>
    <phoneticPr fontId="1" type="noConversion"/>
  </si>
  <si>
    <t>213-04</t>
    <phoneticPr fontId="1" type="noConversion"/>
  </si>
  <si>
    <t>213-05</t>
    <phoneticPr fontId="1" type="noConversion"/>
  </si>
  <si>
    <t>214-01</t>
    <phoneticPr fontId="1" type="noConversion"/>
  </si>
  <si>
    <t>214-03</t>
    <phoneticPr fontId="1" type="noConversion"/>
  </si>
  <si>
    <t>214-04</t>
    <phoneticPr fontId="1" type="noConversion"/>
  </si>
  <si>
    <t>214-05</t>
    <phoneticPr fontId="1" type="noConversion"/>
  </si>
  <si>
    <t>216-01</t>
    <phoneticPr fontId="1" type="noConversion"/>
  </si>
  <si>
    <t>216-02</t>
    <phoneticPr fontId="1" type="noConversion"/>
  </si>
  <si>
    <t>216-03</t>
    <phoneticPr fontId="1" type="noConversion"/>
  </si>
  <si>
    <t>221-01</t>
    <phoneticPr fontId="1" type="noConversion"/>
  </si>
  <si>
    <t>221-02</t>
    <phoneticPr fontId="1" type="noConversion"/>
  </si>
  <si>
    <t>221-03</t>
    <phoneticPr fontId="1" type="noConversion"/>
  </si>
  <si>
    <t>221-04</t>
    <phoneticPr fontId="1" type="noConversion"/>
  </si>
  <si>
    <t>222-01</t>
    <phoneticPr fontId="1" type="noConversion"/>
  </si>
  <si>
    <t>223-01</t>
    <phoneticPr fontId="1" type="noConversion"/>
  </si>
  <si>
    <t>224-01</t>
    <phoneticPr fontId="1" type="noConversion"/>
  </si>
  <si>
    <t>224-02</t>
    <phoneticPr fontId="1" type="noConversion"/>
  </si>
  <si>
    <t>224-03</t>
    <phoneticPr fontId="1" type="noConversion"/>
  </si>
  <si>
    <t>224-04</t>
    <phoneticPr fontId="1" type="noConversion"/>
  </si>
  <si>
    <t>224-06</t>
    <phoneticPr fontId="1" type="noConversion"/>
  </si>
  <si>
    <t>231-01</t>
    <phoneticPr fontId="1" type="noConversion"/>
  </si>
  <si>
    <t>232-01</t>
    <phoneticPr fontId="1" type="noConversion"/>
  </si>
  <si>
    <t>233-01</t>
    <phoneticPr fontId="1" type="noConversion"/>
  </si>
  <si>
    <t>234-01</t>
    <phoneticPr fontId="1" type="noConversion"/>
  </si>
  <si>
    <t>234-02</t>
    <phoneticPr fontId="1" type="noConversion"/>
  </si>
  <si>
    <t>236-01</t>
    <phoneticPr fontId="1" type="noConversion"/>
  </si>
  <si>
    <t>311-01</t>
    <phoneticPr fontId="1" type="noConversion"/>
  </si>
  <si>
    <t>311-02</t>
    <phoneticPr fontId="1" type="noConversion"/>
  </si>
  <si>
    <t>311-03</t>
    <phoneticPr fontId="1" type="noConversion"/>
  </si>
  <si>
    <t>311-04</t>
    <phoneticPr fontId="1" type="noConversion"/>
  </si>
  <si>
    <t>411-01</t>
    <phoneticPr fontId="1" type="noConversion"/>
  </si>
  <si>
    <t>411-03</t>
    <phoneticPr fontId="1" type="noConversion"/>
  </si>
  <si>
    <t>421-02</t>
    <phoneticPr fontId="1" type="noConversion"/>
  </si>
  <si>
    <t>421-03</t>
    <phoneticPr fontId="1" type="noConversion"/>
  </si>
  <si>
    <t>511-01</t>
    <phoneticPr fontId="1" type="noConversion"/>
  </si>
  <si>
    <t>511-02</t>
    <phoneticPr fontId="1" type="noConversion"/>
  </si>
  <si>
    <t>521-01</t>
    <phoneticPr fontId="1" type="noConversion"/>
  </si>
  <si>
    <t>611-02</t>
    <phoneticPr fontId="1" type="noConversion"/>
  </si>
  <si>
    <t>611-04</t>
    <phoneticPr fontId="1" type="noConversion"/>
  </si>
  <si>
    <t>612-01</t>
    <phoneticPr fontId="1" type="noConversion"/>
  </si>
  <si>
    <t>612-02</t>
    <phoneticPr fontId="1" type="noConversion"/>
  </si>
  <si>
    <t>612-03</t>
    <phoneticPr fontId="1" type="noConversion"/>
  </si>
  <si>
    <t>613-01</t>
    <phoneticPr fontId="1" type="noConversion"/>
  </si>
  <si>
    <t>621-01</t>
    <phoneticPr fontId="1" type="noConversion"/>
  </si>
  <si>
    <t>711-01</t>
    <phoneticPr fontId="1" type="noConversion"/>
  </si>
  <si>
    <t>712-01</t>
    <phoneticPr fontId="1" type="noConversion"/>
  </si>
  <si>
    <t>712-02</t>
    <phoneticPr fontId="1" type="noConversion"/>
  </si>
  <si>
    <t>712-03</t>
    <phoneticPr fontId="1" type="noConversion"/>
  </si>
  <si>
    <t>713-01</t>
    <phoneticPr fontId="1" type="noConversion"/>
  </si>
  <si>
    <t>713-03</t>
    <phoneticPr fontId="1" type="noConversion"/>
  </si>
  <si>
    <t>714-01</t>
    <phoneticPr fontId="1" type="noConversion"/>
  </si>
  <si>
    <t>721-01</t>
    <phoneticPr fontId="1" type="noConversion"/>
  </si>
  <si>
    <t>721-02</t>
    <phoneticPr fontId="1" type="noConversion"/>
  </si>
  <si>
    <t>721-03</t>
    <phoneticPr fontId="1" type="noConversion"/>
  </si>
  <si>
    <t>721-05</t>
    <phoneticPr fontId="1" type="noConversion"/>
  </si>
  <si>
    <t>722-02</t>
    <phoneticPr fontId="1" type="noConversion"/>
  </si>
  <si>
    <t>722-04</t>
    <phoneticPr fontId="1" type="noConversion"/>
  </si>
  <si>
    <t>등록면허세</t>
    <phoneticPr fontId="1" type="noConversion"/>
  </si>
  <si>
    <t>재산세</t>
    <phoneticPr fontId="1" type="noConversion"/>
  </si>
  <si>
    <t>레저세</t>
    <phoneticPr fontId="1" type="noConversion"/>
  </si>
  <si>
    <t>담배소비세</t>
    <phoneticPr fontId="1" type="noConversion"/>
  </si>
  <si>
    <t>지역자원시설세</t>
    <phoneticPr fontId="1" type="noConversion"/>
  </si>
  <si>
    <t>국유재산임대료</t>
    <phoneticPr fontId="1" type="noConversion"/>
  </si>
  <si>
    <t>공유재산임대료</t>
    <phoneticPr fontId="1" type="noConversion"/>
  </si>
  <si>
    <t>도로사용료</t>
    <phoneticPr fontId="1" type="noConversion"/>
  </si>
  <si>
    <t>하천사용료</t>
    <phoneticPr fontId="1" type="noConversion"/>
  </si>
  <si>
    <t>하수도사용료</t>
    <phoneticPr fontId="1" type="noConversion"/>
  </si>
  <si>
    <t>상수도사용료</t>
    <phoneticPr fontId="1" type="noConversion"/>
  </si>
  <si>
    <t>공유수면사용료</t>
    <phoneticPr fontId="1" type="noConversion"/>
  </si>
  <si>
    <t>시장사용료</t>
    <phoneticPr fontId="1" type="noConversion"/>
  </si>
  <si>
    <t>입장료수입</t>
    <phoneticPr fontId="1" type="noConversion"/>
  </si>
  <si>
    <t>주차요금수입</t>
    <phoneticPr fontId="1" type="noConversion"/>
  </si>
  <si>
    <t>기타사용료</t>
    <phoneticPr fontId="1" type="noConversion"/>
  </si>
  <si>
    <t>증지수입</t>
    <phoneticPr fontId="1" type="noConversion"/>
  </si>
  <si>
    <t>재활용품수거판매수입</t>
    <phoneticPr fontId="1" type="noConversion"/>
  </si>
  <si>
    <t>예탁금 이자수입</t>
    <phoneticPr fontId="1" type="noConversion"/>
  </si>
  <si>
    <t>예탁금 원금 회수수입</t>
    <phoneticPr fontId="1" type="noConversion"/>
  </si>
  <si>
    <t>예수금수입</t>
    <phoneticPr fontId="1" type="noConversion"/>
  </si>
  <si>
    <t>기금전입금</t>
    <phoneticPr fontId="1" type="noConversion"/>
  </si>
  <si>
    <t>기타회계 전입금</t>
    <phoneticPr fontId="1" type="noConversion"/>
  </si>
  <si>
    <t>공사·공단 전입금</t>
    <phoneticPr fontId="1" type="noConversion"/>
  </si>
  <si>
    <t>공기업특별회계전입금</t>
    <phoneticPr fontId="1" type="noConversion"/>
  </si>
  <si>
    <t>예치금회수</t>
    <phoneticPr fontId="1" type="noConversion"/>
  </si>
  <si>
    <t>시군구 융자금 회수수입</t>
    <phoneticPr fontId="1" type="noConversion"/>
  </si>
  <si>
    <t>공사공단 등 융자금 회수수입</t>
    <phoneticPr fontId="1" type="noConversion"/>
  </si>
  <si>
    <t>통화금융기관융자금회수수입</t>
    <phoneticPr fontId="1" type="noConversion"/>
  </si>
  <si>
    <t>민간융자금회수수입</t>
    <phoneticPr fontId="1" type="noConversion"/>
  </si>
  <si>
    <t>전년도이월사업비</t>
    <phoneticPr fontId="1" type="noConversion"/>
  </si>
  <si>
    <t>시·도비보조금사용잔액</t>
    <phoneticPr fontId="1" type="noConversion"/>
  </si>
  <si>
    <t>국고보조금사용잔액</t>
    <phoneticPr fontId="1" type="noConversion"/>
  </si>
  <si>
    <t>지역개발기금시·군·구융자금수입</t>
    <phoneticPr fontId="1" type="noConversion"/>
  </si>
  <si>
    <t>매출공채</t>
    <phoneticPr fontId="1" type="noConversion"/>
  </si>
  <si>
    <t>모집공채</t>
    <phoneticPr fontId="1" type="noConversion"/>
  </si>
  <si>
    <t>기타</t>
    <phoneticPr fontId="1" type="noConversion"/>
  </si>
  <si>
    <t>지방공공 자금채</t>
    <phoneticPr fontId="1" type="noConversion"/>
  </si>
  <si>
    <t>금융기관채</t>
    <phoneticPr fontId="1" type="noConversion"/>
  </si>
  <si>
    <t>정부자금채</t>
    <phoneticPr fontId="1" type="noConversion"/>
  </si>
  <si>
    <t>시도비보조금등</t>
    <phoneticPr fontId="1" type="noConversion"/>
  </si>
  <si>
    <t>국고보조금</t>
    <phoneticPr fontId="1" type="noConversion"/>
  </si>
  <si>
    <t>시군기타재원조정수입</t>
    <phoneticPr fontId="1" type="noConversion"/>
  </si>
  <si>
    <t>시군특별조정교부금</t>
    <phoneticPr fontId="1" type="noConversion"/>
  </si>
  <si>
    <t>시군일반조정교부금</t>
    <phoneticPr fontId="1" type="noConversion"/>
  </si>
  <si>
    <t>자치구기타재원조정수입</t>
    <phoneticPr fontId="1" type="noConversion"/>
  </si>
  <si>
    <t>자치구특별조정교부금</t>
    <phoneticPr fontId="1" type="noConversion"/>
  </si>
  <si>
    <t>자치구일반조정교부금</t>
    <phoneticPr fontId="1" type="noConversion"/>
  </si>
  <si>
    <t>소방안전교부세</t>
    <phoneticPr fontId="1" type="noConversion"/>
  </si>
  <si>
    <t>부동산교부세</t>
    <phoneticPr fontId="1" type="noConversion"/>
  </si>
  <si>
    <t>특별교부세</t>
    <phoneticPr fontId="1" type="noConversion"/>
  </si>
  <si>
    <t>보통교부세</t>
    <phoneticPr fontId="1" type="noConversion"/>
  </si>
  <si>
    <t>부담금</t>
    <phoneticPr fontId="1" type="noConversion"/>
  </si>
  <si>
    <t>부정이익환수금</t>
    <phoneticPr fontId="1" type="noConversion"/>
  </si>
  <si>
    <t>기타과태료</t>
    <phoneticPr fontId="1" type="noConversion"/>
  </si>
  <si>
    <t>차량관련과태료</t>
    <phoneticPr fontId="1" type="noConversion"/>
  </si>
  <si>
    <t>변상금</t>
    <phoneticPr fontId="1" type="noConversion"/>
  </si>
  <si>
    <t>이행강제금</t>
    <phoneticPr fontId="1" type="noConversion"/>
  </si>
  <si>
    <t>과징금</t>
    <phoneticPr fontId="1" type="noConversion"/>
  </si>
  <si>
    <t>그외수입</t>
    <phoneticPr fontId="1" type="noConversion"/>
  </si>
  <si>
    <t>위약금</t>
    <phoneticPr fontId="1" type="noConversion"/>
  </si>
  <si>
    <t>지방교부세감소분보전수입</t>
    <phoneticPr fontId="1" type="noConversion"/>
  </si>
  <si>
    <t>지적재조사조정금</t>
    <phoneticPr fontId="1" type="noConversion"/>
  </si>
  <si>
    <t>기부금수입</t>
    <phoneticPr fontId="1" type="noConversion"/>
  </si>
  <si>
    <t>보상금수납금</t>
    <phoneticPr fontId="1" type="noConversion"/>
  </si>
  <si>
    <t>체납처분수입</t>
    <phoneticPr fontId="1" type="noConversion"/>
  </si>
  <si>
    <t>불용품 매각대금</t>
    <phoneticPr fontId="1" type="noConversion"/>
  </si>
  <si>
    <t>공유재산매각수입금</t>
    <phoneticPr fontId="1" type="noConversion"/>
  </si>
  <si>
    <t>시·도유재산매각귀속수입금</t>
    <phoneticPr fontId="1" type="noConversion"/>
  </si>
  <si>
    <t>기타이자수입</t>
    <phoneticPr fontId="1" type="noConversion"/>
  </si>
  <si>
    <t>융자금회수이자수입</t>
    <phoneticPr fontId="1" type="noConversion"/>
  </si>
  <si>
    <t>공공예금이자수입</t>
    <phoneticPr fontId="1" type="noConversion"/>
  </si>
  <si>
    <t>징수교부금수입</t>
    <phoneticPr fontId="1" type="noConversion"/>
  </si>
  <si>
    <t>기타사업수입</t>
    <phoneticPr fontId="1" type="noConversion"/>
  </si>
  <si>
    <t>배당금수입</t>
    <phoneticPr fontId="1" type="noConversion"/>
  </si>
  <si>
    <t>매각사업수입</t>
    <phoneticPr fontId="1" type="noConversion"/>
  </si>
  <si>
    <t>청산금수입</t>
    <phoneticPr fontId="1" type="noConversion"/>
  </si>
  <si>
    <t>기타수수료</t>
    <phoneticPr fontId="1" type="noConversion"/>
  </si>
  <si>
    <t>보건의료수수료</t>
    <phoneticPr fontId="1" type="noConversion"/>
  </si>
  <si>
    <t>세부사업명</t>
    <phoneticPr fontId="1" type="noConversion"/>
  </si>
  <si>
    <t>목명</t>
    <phoneticPr fontId="1" type="noConversion"/>
  </si>
  <si>
    <t>부대의견</t>
    <phoneticPr fontId="1" type="noConversion"/>
  </si>
  <si>
    <t>예결위 부대의견</t>
    <phoneticPr fontId="1" type="noConversion"/>
  </si>
  <si>
    <t>(의료급여기금)</t>
    <phoneticPr fontId="1" type="noConversion"/>
  </si>
  <si>
    <t>(광역교통시설)</t>
    <phoneticPr fontId="1" type="noConversion"/>
  </si>
  <si>
    <t>(도시재생)</t>
    <phoneticPr fontId="1" type="noConversion"/>
  </si>
  <si>
    <t>세부사업명</t>
    <phoneticPr fontId="1" type="noConversion"/>
  </si>
  <si>
    <t>통계목코드</t>
    <phoneticPr fontId="1" type="noConversion"/>
  </si>
  <si>
    <t>통계목</t>
    <phoneticPr fontId="1" type="noConversion"/>
  </si>
  <si>
    <t>(지역균형발전)</t>
    <phoneticPr fontId="1" type="noConversion"/>
  </si>
  <si>
    <t>(지역자원시설세)</t>
    <phoneticPr fontId="1" type="noConversion"/>
  </si>
  <si>
    <t>(팔당호관리)</t>
    <phoneticPr fontId="1" type="noConversion"/>
  </si>
  <si>
    <t>(학교용지부담금)</t>
    <phoneticPr fontId="1" type="noConversion"/>
  </si>
  <si>
    <t>(팔당호관리)</t>
    <phoneticPr fontId="1" type="noConversion"/>
  </si>
  <si>
    <t>지역개발기금</t>
    <phoneticPr fontId="1" type="noConversion"/>
  </si>
  <si>
    <t xml:space="preserve"> </t>
    <phoneticPr fontId="1" type="noConversion"/>
  </si>
  <si>
    <t>도시재생과</t>
  </si>
  <si>
    <t>주민세</t>
    <phoneticPr fontId="1" type="noConversion"/>
  </si>
  <si>
    <t>111-05</t>
    <phoneticPr fontId="1" type="noConversion"/>
  </si>
  <si>
    <t>자동차세</t>
    <phoneticPr fontId="1" type="noConversion"/>
  </si>
  <si>
    <t>지방소비세</t>
    <phoneticPr fontId="1" type="noConversion"/>
  </si>
  <si>
    <t>지방소득세</t>
    <phoneticPr fontId="1" type="noConversion"/>
  </si>
  <si>
    <t>112-01</t>
    <phoneticPr fontId="1" type="noConversion"/>
  </si>
  <si>
    <t>지방교육세</t>
    <phoneticPr fontId="1" type="noConversion"/>
  </si>
  <si>
    <t>212-06</t>
    <phoneticPr fontId="1" type="noConversion"/>
  </si>
  <si>
    <t>213-01</t>
    <phoneticPr fontId="1" type="noConversion"/>
  </si>
  <si>
    <t>213-02</t>
    <phoneticPr fontId="1" type="noConversion"/>
  </si>
  <si>
    <t>폐기물처리수수료</t>
    <phoneticPr fontId="1" type="noConversion"/>
  </si>
  <si>
    <t>사업장생산수입</t>
    <phoneticPr fontId="1" type="noConversion"/>
  </si>
  <si>
    <t>214-02</t>
    <phoneticPr fontId="1" type="noConversion"/>
  </si>
  <si>
    <t>215-01</t>
    <phoneticPr fontId="1" type="noConversion"/>
  </si>
  <si>
    <t>국유재산매각귀속수입금</t>
    <phoneticPr fontId="1" type="noConversion"/>
  </si>
  <si>
    <t>자치단체간부담금</t>
    <phoneticPr fontId="1" type="noConversion"/>
  </si>
  <si>
    <t>시·도비보조금등반환수입</t>
    <phoneticPr fontId="1" type="noConversion"/>
  </si>
  <si>
    <t>223-02</t>
    <phoneticPr fontId="1" type="noConversion"/>
  </si>
  <si>
    <t>자체보조금등반환수입</t>
    <phoneticPr fontId="1" type="noConversion"/>
  </si>
  <si>
    <t>224-05</t>
    <phoneticPr fontId="1" type="noConversion"/>
  </si>
  <si>
    <t>224-07</t>
    <phoneticPr fontId="1" type="noConversion"/>
  </si>
  <si>
    <t>235-01</t>
    <phoneticPr fontId="1" type="noConversion"/>
  </si>
  <si>
    <t>321-01</t>
    <phoneticPr fontId="1" type="noConversion"/>
  </si>
  <si>
    <t>소멸대응기금</t>
    <phoneticPr fontId="1" type="noConversion"/>
  </si>
  <si>
    <t>411-02</t>
    <phoneticPr fontId="1" type="noConversion"/>
  </si>
  <si>
    <t>421-01</t>
    <phoneticPr fontId="1" type="noConversion"/>
  </si>
  <si>
    <t>511-03</t>
    <phoneticPr fontId="1" type="noConversion"/>
  </si>
  <si>
    <t>611-01</t>
    <phoneticPr fontId="1" type="noConversion"/>
  </si>
  <si>
    <t>611-03</t>
    <phoneticPr fontId="1" type="noConversion"/>
  </si>
  <si>
    <t>교부공채</t>
    <phoneticPr fontId="1" type="noConversion"/>
  </si>
  <si>
    <t>국외차입금</t>
    <phoneticPr fontId="1" type="noConversion"/>
  </si>
  <si>
    <t>순세계잉여금</t>
    <phoneticPr fontId="1" type="noConversion"/>
  </si>
  <si>
    <t>713-02</t>
    <phoneticPr fontId="1" type="noConversion"/>
  </si>
  <si>
    <t>713-04</t>
    <phoneticPr fontId="1" type="noConversion"/>
  </si>
  <si>
    <t>715 보조금등반환금</t>
    <phoneticPr fontId="1" type="noConversion"/>
  </si>
  <si>
    <t>715-01</t>
    <phoneticPr fontId="1" type="noConversion"/>
  </si>
  <si>
    <t>국고보조금등반환금</t>
    <phoneticPr fontId="1" type="noConversion"/>
  </si>
  <si>
    <t>715-02</t>
    <phoneticPr fontId="1" type="noConversion"/>
  </si>
  <si>
    <t>시·도비보조금등반환금</t>
    <phoneticPr fontId="1" type="noConversion"/>
  </si>
  <si>
    <t>721-04</t>
    <phoneticPr fontId="1" type="noConversion"/>
  </si>
  <si>
    <t>교육비특별회계전입금</t>
    <phoneticPr fontId="1" type="noConversion"/>
  </si>
  <si>
    <t>722-01</t>
    <phoneticPr fontId="1" type="noConversion"/>
  </si>
  <si>
    <t>시·도지역개발기금예수금수입</t>
    <phoneticPr fontId="1" type="noConversion"/>
  </si>
  <si>
    <t>722-03</t>
    <phoneticPr fontId="1" type="noConversion"/>
  </si>
  <si>
    <t>실국명(집계표)</t>
  </si>
  <si>
    <t>부서명(집계표)</t>
  </si>
  <si>
    <t>공간전략과</t>
  </si>
  <si>
    <t>도시정책과</t>
  </si>
  <si>
    <t>택지개발과</t>
  </si>
  <si>
    <t>신도시기획과</t>
  </si>
  <si>
    <t>토지정보과</t>
  </si>
  <si>
    <t>주택정책과</t>
  </si>
  <si>
    <t>공동주택과</t>
  </si>
  <si>
    <t>지역금융과</t>
  </si>
  <si>
    <t>소상공인과</t>
  </si>
  <si>
    <t>건설안전기술과</t>
  </si>
  <si>
    <t>소방감사과</t>
  </si>
  <si>
    <t>인사담당관</t>
  </si>
  <si>
    <t>생활안전담당관</t>
  </si>
  <si>
    <t>회계장비담당관</t>
  </si>
  <si>
    <t>경기도국민안전체험관</t>
  </si>
  <si>
    <t>친환경미생물연구소</t>
  </si>
  <si>
    <t>경기도남부자치경찰위원회</t>
  </si>
  <si>
    <t>남부기획조정과</t>
  </si>
  <si>
    <t>남부자치경찰협력과</t>
  </si>
  <si>
    <t>경기도북부자치경찰위원회</t>
  </si>
  <si>
    <t>북부기획조정과</t>
  </si>
  <si>
    <t>북부자치경찰협력과</t>
  </si>
  <si>
    <t>위원회</t>
  </si>
  <si>
    <t>통계목명</t>
    <phoneticPr fontId="1" type="noConversion"/>
  </si>
  <si>
    <t>101-01</t>
    <phoneticPr fontId="89" type="noConversion"/>
  </si>
  <si>
    <t>기타직보수</t>
  </si>
  <si>
    <t>공무직(무기계약)근로자보수</t>
  </si>
  <si>
    <t>기간제근로자등보수</t>
  </si>
  <si>
    <t>202-01</t>
    <phoneticPr fontId="89" type="noConversion"/>
  </si>
  <si>
    <t>의원정책개발비</t>
  </si>
  <si>
    <t>의장협의체부담금</t>
  </si>
  <si>
    <t>의원국민연금부담금</t>
  </si>
  <si>
    <t>의원국민건강부담금</t>
  </si>
  <si>
    <t>민간인재해및복구활동보상금</t>
  </si>
  <si>
    <t>304-04</t>
    <phoneticPr fontId="1" type="noConversion"/>
  </si>
  <si>
    <t>민간단체법정운영비보조</t>
  </si>
  <si>
    <t>사회복지시설법정운영비보조</t>
  </si>
  <si>
    <t>자치단체경상보조금</t>
  </si>
  <si>
    <t>자치구조정교부금</t>
  </si>
  <si>
    <t>시·군조정교부금</t>
  </si>
  <si>
    <t>자치구기타재원조정비</t>
  </si>
  <si>
    <t>시·군기타재원조정비</t>
  </si>
  <si>
    <t>자치단체간부담금</t>
  </si>
  <si>
    <t>교육기관에대한보조</t>
  </si>
  <si>
    <t>공사·공단경상전출금</t>
  </si>
  <si>
    <t>공무원연금관리공단경상전출금</t>
  </si>
  <si>
    <t>시·군·구지역개발기금차입금이자상환</t>
  </si>
  <si>
    <t>통화금융기관차입금이자상환</t>
  </si>
  <si>
    <t>중앙정부차입금이자상환</t>
  </si>
  <si>
    <t>지방채증권이자상환</t>
  </si>
  <si>
    <t>기타차입금이자상환</t>
  </si>
  <si>
    <t>민간위탁사업비</t>
  </si>
  <si>
    <t>공기관등에대한자본적위탁사업비</t>
  </si>
  <si>
    <t>자산및물품취득비</t>
  </si>
  <si>
    <t>통화금융기관융자금</t>
  </si>
  <si>
    <t>공사·공단등융자금</t>
  </si>
  <si>
    <t>시·군·구지역개발기금차입금원금상환</t>
  </si>
  <si>
    <t>통화금융기관차입금원금상환</t>
  </si>
  <si>
    <t>중앙정부차입금원금상환</t>
  </si>
  <si>
    <t>지방채증권원금상환</t>
  </si>
  <si>
    <t>기타국내차입금원금상환</t>
  </si>
  <si>
    <t>기타해외채무상환</t>
  </si>
  <si>
    <t>일반예치금</t>
  </si>
  <si>
    <t>의무예치금</t>
  </si>
  <si>
    <t>기타회계전출금</t>
  </si>
  <si>
    <t>공기업특별회계경상전출금</t>
  </si>
  <si>
    <t>공기업특별회계자본전출금</t>
  </si>
  <si>
    <t>예수금원금상환</t>
  </si>
  <si>
    <t>예수금이자상환</t>
  </si>
  <si>
    <t>시·도지역개발기금예수금원금상환</t>
  </si>
  <si>
    <t>시·도지역개발기금예수금이자상환</t>
  </si>
  <si>
    <t>국고보조금반환금</t>
  </si>
  <si>
    <t>시·도비보조금반환금</t>
  </si>
  <si>
    <t>기타반환금 등</t>
  </si>
  <si>
    <t>(예비비 계수 조정용)</t>
    <phoneticPr fontId="1" type="noConversion"/>
  </si>
  <si>
    <t>비고</t>
    <phoneticPr fontId="1" type="noConversion"/>
  </si>
  <si>
    <t>정책홍보담당관</t>
  </si>
  <si>
    <t>도민소통담당관</t>
  </si>
  <si>
    <t>기회전략담당관</t>
  </si>
  <si>
    <t>북부안전특별점검단</t>
  </si>
  <si>
    <t>노후신도시정비과</t>
  </si>
  <si>
    <t>콘텐츠산업과</t>
  </si>
  <si>
    <t>체육진흥과</t>
  </si>
  <si>
    <t>관광산업과</t>
  </si>
  <si>
    <t>고용평등과</t>
  </si>
  <si>
    <t>경기북부특별자치도추진단</t>
  </si>
  <si>
    <t>군협력담당관</t>
  </si>
  <si>
    <t>노동안전과</t>
  </si>
  <si>
    <t>동물복지과</t>
  </si>
  <si>
    <t>반려동물과</t>
  </si>
  <si>
    <t>경기국제공항추진단</t>
  </si>
  <si>
    <t>소통협치관</t>
  </si>
  <si>
    <t>산업입지과</t>
  </si>
  <si>
    <t>규제개혁과</t>
  </si>
  <si>
    <t>기후환경정책과</t>
  </si>
  <si>
    <t>에너지산업과</t>
  </si>
  <si>
    <t>산림녹지과</t>
  </si>
  <si>
    <t>정원산업과</t>
  </si>
  <si>
    <t>디지털혁신과</t>
  </si>
  <si>
    <t>벤처스타트업과</t>
  </si>
  <si>
    <t>반도체산업과</t>
  </si>
  <si>
    <t>첨단모빌리티산업과</t>
  </si>
  <si>
    <t>바이오산업과</t>
  </si>
  <si>
    <t>청년기회과</t>
  </si>
  <si>
    <t>베이비부머기회과</t>
  </si>
  <si>
    <t>사회적경제육성과</t>
  </si>
  <si>
    <t>119종합상황실</t>
  </si>
  <si>
    <t>농수산생명과학국</t>
  </si>
  <si>
    <t>축산동물복지국</t>
  </si>
  <si>
    <t>기후환경에너지국</t>
  </si>
  <si>
    <t>미래성장산업국</t>
  </si>
  <si>
    <t>301-13</t>
  </si>
  <si>
    <t>301-14</t>
  </si>
  <si>
    <t>사회보장적수혜금(국고보조재원)</t>
    <phoneticPr fontId="1" type="noConversion"/>
  </si>
  <si>
    <t>사회보장적수혜금(취약계층,지방재원)</t>
    <phoneticPr fontId="1" type="noConversion"/>
  </si>
  <si>
    <t>사회보장적수혜금(지방재원)</t>
    <phoneticPr fontId="1" type="noConversion"/>
  </si>
  <si>
    <t>장학금및학자금</t>
    <phoneticPr fontId="1" type="noConversion"/>
  </si>
  <si>
    <t>의용소방대지원경비</t>
    <phoneticPr fontId="1" type="noConversion"/>
  </si>
  <si>
    <t>자율방범대실비지원</t>
    <phoneticPr fontId="1" type="noConversion"/>
  </si>
  <si>
    <t>통장·이장·반장활동보상금</t>
    <phoneticPr fontId="1" type="noConversion"/>
  </si>
  <si>
    <t>민간인국외여비</t>
    <phoneticPr fontId="1" type="noConversion"/>
  </si>
  <si>
    <t>외빈초청여비</t>
    <phoneticPr fontId="1" type="noConversion"/>
  </si>
  <si>
    <t>사회복무요원보상금</t>
    <phoneticPr fontId="1" type="noConversion"/>
  </si>
  <si>
    <t>행사실비지원금</t>
    <phoneticPr fontId="1" type="noConversion"/>
  </si>
  <si>
    <t>예술단원·운동부등보상금</t>
    <phoneticPr fontId="1" type="noConversion"/>
  </si>
  <si>
    <t>사회성과보상금</t>
    <phoneticPr fontId="1" type="noConversion"/>
  </si>
  <si>
    <t>기타보상금</t>
    <phoneticPr fontId="1" type="noConversion"/>
  </si>
  <si>
    <t>위탁비반환수입</t>
    <phoneticPr fontId="1" type="noConversion"/>
  </si>
  <si>
    <t>223-03</t>
    <phoneticPr fontId="1" type="noConversion"/>
  </si>
  <si>
    <t>308-11</t>
    <phoneticPr fontId="17" type="noConversion"/>
  </si>
  <si>
    <t>308-10</t>
    <phoneticPr fontId="17" type="noConversion"/>
  </si>
  <si>
    <t>308-12</t>
    <phoneticPr fontId="17" type="noConversion"/>
  </si>
  <si>
    <t>237 범칙금</t>
    <phoneticPr fontId="1" type="noConversion"/>
  </si>
  <si>
    <t>237-01</t>
    <phoneticPr fontId="1" type="noConversion"/>
  </si>
  <si>
    <t>범칙금</t>
    <phoneticPr fontId="1" type="noConversion"/>
  </si>
  <si>
    <t>공립대학운영비</t>
    <phoneticPr fontId="1" type="noConversion"/>
  </si>
  <si>
    <t>맞춤형복지제도시행경비</t>
    <phoneticPr fontId="1" type="noConversion"/>
  </si>
  <si>
    <t>공무직(무기계약)근로자보험료부담금등</t>
    <phoneticPr fontId="1" type="noConversion"/>
  </si>
  <si>
    <t>의료및회복비</t>
    <phoneticPr fontId="1" type="noConversion"/>
  </si>
  <si>
    <t>지역대학에대한경상보조</t>
    <phoneticPr fontId="1" type="noConversion"/>
  </si>
  <si>
    <t>시·군·구교육비특별회계법정전출금</t>
    <phoneticPr fontId="1" type="noConversion"/>
  </si>
  <si>
    <t>시·군·구교육비특별회계비법정전출금</t>
    <phoneticPr fontId="1" type="noConversion"/>
  </si>
  <si>
    <t>예비군육성지원경상보조</t>
    <phoneticPr fontId="1" type="noConversion"/>
  </si>
  <si>
    <t>308-13</t>
    <phoneticPr fontId="17" type="noConversion"/>
  </si>
  <si>
    <t>308-14</t>
    <phoneticPr fontId="17" type="noConversion"/>
  </si>
  <si>
    <t>기타부담금</t>
    <phoneticPr fontId="1" type="noConversion"/>
  </si>
  <si>
    <t>403-04</t>
    <phoneticPr fontId="1" type="noConversion"/>
  </si>
  <si>
    <t>지역대학에대한자본보조</t>
    <phoneticPr fontId="1" type="noConversion"/>
  </si>
  <si>
    <t>시·군·구융자금</t>
    <phoneticPr fontId="1" type="noConversion"/>
  </si>
  <si>
    <t>시·도법정전출금</t>
    <phoneticPr fontId="1" type="noConversion"/>
  </si>
  <si>
    <t>시·도비법정전출금</t>
    <phoneticPr fontId="1" type="noConversion"/>
  </si>
  <si>
    <t>공기관등에대한경상적위탁사업비</t>
    <phoneticPr fontId="1" type="noConversion"/>
  </si>
  <si>
    <t>241-01</t>
    <phoneticPr fontId="1" type="noConversion"/>
  </si>
  <si>
    <t>320 지방소멸대응기금</t>
    <phoneticPr fontId="1" type="noConversion"/>
  </si>
  <si>
    <t>321 지방소명대응기금</t>
    <phoneticPr fontId="1" type="noConversion"/>
  </si>
  <si>
    <t>지역균형발전특별회계보조금</t>
    <phoneticPr fontId="1" type="noConversion"/>
  </si>
  <si>
    <t>코드(숫자)</t>
    <phoneticPr fontId="1" type="noConversion"/>
  </si>
  <si>
    <t>특별사법경찰단</t>
  </si>
  <si>
    <t>보건의료정책과</t>
  </si>
  <si>
    <t>의료자원과</t>
  </si>
  <si>
    <t>감염병관리과</t>
  </si>
  <si>
    <t>응급의료과</t>
  </si>
  <si>
    <t>문화정책과</t>
  </si>
  <si>
    <t>종교협력과</t>
  </si>
  <si>
    <t>미래평생교육국</t>
  </si>
  <si>
    <t>가족정책과</t>
  </si>
  <si>
    <t>총괄기획과</t>
  </si>
  <si>
    <t>특례정책과</t>
  </si>
  <si>
    <t>이민사회국</t>
  </si>
  <si>
    <t>이민사회정책과</t>
  </si>
  <si>
    <t>이민사회지원과</t>
  </si>
  <si>
    <t>건설정책과</t>
  </si>
  <si>
    <t>버스관리과</t>
  </si>
  <si>
    <t>경제실</t>
  </si>
  <si>
    <t>기업육성과</t>
  </si>
  <si>
    <t>AI국</t>
  </si>
  <si>
    <t>AI산업육성과</t>
  </si>
  <si>
    <t>국제협력국</t>
  </si>
  <si>
    <t>국제협력정책과</t>
  </si>
  <si>
    <t>국제통상과</t>
  </si>
  <si>
    <t>투자진흥과</t>
  </si>
  <si>
    <t>기후환경관리과</t>
  </si>
  <si>
    <t>에너지관리과</t>
  </si>
  <si>
    <t>대기환경관리과</t>
  </si>
  <si>
    <t>환경보건안전과</t>
  </si>
  <si>
    <t>사회혁신기획과</t>
  </si>
  <si>
    <t>사회혁신경제국</t>
  </si>
  <si>
    <t>화재예방과</t>
  </si>
  <si>
    <t>북부119종합상황실</t>
  </si>
  <si>
    <t>용인서부소방서</t>
  </si>
  <si>
    <t>미래과학협력위원회</t>
  </si>
  <si>
    <t>미래과학협력위원회</t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</si>
  <si>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세출(자체)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</si>
  <si>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</si>
  <si>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세출(의존)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</si>
  <si>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상임위 증감액</t>
    <phoneticPr fontId="1" type="noConversion"/>
  </si>
  <si>
    <t>예결위 증감액</t>
    <phoneticPr fontId="1" type="noConversion"/>
  </si>
  <si>
    <t>세입
번호
검증</t>
    <phoneticPr fontId="1" type="noConversion"/>
  </si>
  <si>
    <t>자동입력</t>
    <phoneticPr fontId="1" type="noConversion"/>
  </si>
  <si>
    <t>(단위 : 천원)</t>
    <phoneticPr fontId="1" type="noConversion"/>
  </si>
  <si>
    <t>재원
검증</t>
    <phoneticPr fontId="1" type="noConversion"/>
  </si>
  <si>
    <t>소멸</t>
    <phoneticPr fontId="1" type="noConversion"/>
  </si>
  <si>
    <t>실국
부서
코드</t>
    <phoneticPr fontId="1" type="noConversion"/>
  </si>
  <si>
    <t>국비=국비 증감액</t>
    <phoneticPr fontId="1" type="noConversion"/>
  </si>
  <si>
    <t>감사총괄과</t>
  </si>
  <si>
    <t>감사1과</t>
  </si>
  <si>
    <t>감사2과</t>
  </si>
  <si>
    <t>계약심사과</t>
  </si>
  <si>
    <t>운영기획부</t>
  </si>
  <si>
    <t>(순환경제)</t>
    <phoneticPr fontId="1" type="noConversion"/>
  </si>
  <si>
    <t>경기도도민권익위원회</t>
  </si>
  <si>
    <t>경기도감사위원회</t>
  </si>
  <si>
    <t>지방채</t>
  </si>
  <si>
    <t>지방채</t>
    <phoneticPr fontId="1" type="noConversion"/>
  </si>
  <si>
    <t>지역개발기금</t>
  </si>
  <si>
    <t>자체</t>
  </si>
  <si>
    <t>자체</t>
    <phoneticPr fontId="1" type="noConversion"/>
  </si>
  <si>
    <t>도비</t>
  </si>
  <si>
    <t>세입번호</t>
  </si>
  <si>
    <t>세입 번호
유무 검증</t>
  </si>
  <si>
    <t>세입 번호
유무 검증</t>
    <phoneticPr fontId="1" type="noConversion"/>
  </si>
  <si>
    <t>세출 재원</t>
    <phoneticPr fontId="1" type="noConversion"/>
  </si>
  <si>
    <t>(단위 : 천원)</t>
  </si>
  <si>
    <t>실국
부서코드</t>
    <phoneticPr fontId="1" type="noConversion"/>
  </si>
  <si>
    <t>세출
재원</t>
    <phoneticPr fontId="1" type="noConversion"/>
  </si>
  <si>
    <t>세출
재원</t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</si>
  <si>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(상임위조정액
=</t>
    </r>
    <r>
      <rPr>
        <sz val="18"/>
        <color theme="1"/>
        <rFont val="맑은 고딕"/>
        <family val="3"/>
        <charset val="129"/>
      </rPr>
      <t>∑</t>
    </r>
    <r>
      <rPr>
        <sz val="18"/>
        <color theme="1"/>
        <rFont val="돋움"/>
        <family val="3"/>
        <charset val="129"/>
      </rPr>
      <t>도비)</t>
    </r>
    <phoneticPr fontId="1" type="noConversion"/>
  </si>
  <si>
    <t>세입세출
금액검증</t>
    <phoneticPr fontId="1" type="noConversion"/>
  </si>
  <si>
    <t>금액 검증</t>
    <phoneticPr fontId="1" type="noConversion"/>
  </si>
  <si>
    <t>세입
번호</t>
    <phoneticPr fontId="1" type="noConversion"/>
  </si>
  <si>
    <t>240 지난연도수입</t>
    <phoneticPr fontId="1" type="noConversion"/>
  </si>
  <si>
    <t>241 지난연도수입</t>
    <phoneticPr fontId="1" type="noConversion"/>
  </si>
  <si>
    <t>지난연도수입</t>
    <phoneticPr fontId="1" type="noConversion"/>
  </si>
  <si>
    <t>지방채/지역개발기금 매칭 세입 검증</t>
    <phoneticPr fontId="1" type="noConversion"/>
  </si>
  <si>
    <t>국비 매칭 세입 검증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</si>
  <si>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"4. 특입"시트의 AD열 입력")
※ 매칭 세입이 없는 경우 세입번호에 "세입없음" 기재</t>
    </r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</si>
  <si>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경우만 금액 입력)</t>
    </r>
    <phoneticPr fontId="1" type="noConversion"/>
  </si>
  <si>
    <t>"4. 특출"에
입력</t>
    <phoneticPr fontId="1" type="noConversion"/>
  </si>
  <si>
    <t>"3. 일출(의존)"
에 입력</t>
    <phoneticPr fontId="1" type="noConversion"/>
  </si>
  <si>
    <t>"3. 일출(자체)"
"3. 일출(의존)"
에 입력</t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</si>
  <si>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(예결위조정액
=</t>
    </r>
    <r>
      <rPr>
        <sz val="18"/>
        <color theme="1"/>
        <rFont val="맑은 고딕"/>
        <family val="3"/>
        <charset val="129"/>
      </rPr>
      <t>∑</t>
    </r>
    <r>
      <rPr>
        <sz val="18"/>
        <color theme="1"/>
        <rFont val="돋움"/>
        <family val="3"/>
        <charset val="129"/>
      </rPr>
      <t>도비)</t>
    </r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</si>
  <si>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(예결위조정액
=∑도비)</t>
    </r>
    <phoneticPr fontId="1" type="noConversion"/>
  </si>
  <si>
    <t>지방채/지역개발기금 검증(일반회계)</t>
    <phoneticPr fontId="1" type="noConversion"/>
  </si>
  <si>
    <t>일출(자체) 계</t>
    <phoneticPr fontId="1" type="noConversion"/>
  </si>
  <si>
    <t>일출(의존) 계</t>
    <phoneticPr fontId="1" type="noConversion"/>
  </si>
  <si>
    <r>
      <t xml:space="preserve">직접입력
</t>
    </r>
    <r>
      <rPr>
        <sz val="20"/>
        <rFont val="경기천년제목 Medium"/>
        <family val="1"/>
        <charset val="129"/>
      </rPr>
      <t xml:space="preserve">(지방채/지역개발기금인 경우만 금액 입력)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</si>
  <si>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직접입력
</t>
    </r>
    <r>
      <rPr>
        <sz val="20"/>
        <color theme="1"/>
        <rFont val="경기천년제목 Medium"/>
        <family val="1"/>
        <charset val="129"/>
      </rPr>
      <t xml:space="preserve">(지방채/지역개발기금인 경우만 금액 입력)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</si>
  <si>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직접입력
</t>
    </r>
    <r>
      <rPr>
        <sz val="18"/>
        <color theme="1"/>
        <rFont val="경기천년제목 Medium"/>
        <family val="1"/>
        <charset val="129"/>
      </rPr>
      <t>(도비는 지방채/지역개발기금이 있는 경우만 금액 입력)</t>
    </r>
    <r>
      <rPr>
        <sz val="20"/>
        <color theme="1"/>
        <rFont val="경기천년제목 Medium"/>
        <family val="1"/>
        <charset val="129"/>
      </rPr>
      <t xml:space="preserve">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</si>
  <si>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기타특별회계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</si>
  <si>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기타특별회계 </t>
    </r>
    <r>
      <rPr>
        <b/>
        <sz val="48"/>
        <color rgb="FFFF0000"/>
        <rFont val="HY견명조"/>
        <family val="1"/>
        <charset val="129"/>
      </rPr>
      <t>세출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</si>
  <si>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(판교테크노밸리)</t>
    <phoneticPr fontId="1" type="noConversion"/>
  </si>
  <si>
    <t>(고덕국제화계획지구)</t>
    <phoneticPr fontId="1" type="noConversion"/>
  </si>
  <si>
    <r>
      <t xml:space="preserve">공기업특별회계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</si>
  <si>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공기업특별회계 </t>
    </r>
    <r>
      <rPr>
        <b/>
        <sz val="48"/>
        <color rgb="FFFF0000"/>
        <rFont val="HY견명조"/>
        <family val="1"/>
        <charset val="129"/>
      </rPr>
      <t>세출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</si>
  <si>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예산안
(다=가+나)</t>
    <phoneticPr fontId="17" type="noConversion"/>
  </si>
  <si>
    <t>상임위 
조정액
(라)</t>
    <phoneticPr fontId="17" type="noConversion"/>
  </si>
  <si>
    <t>예결특위
조정액
(바)</t>
    <phoneticPr fontId="17" type="noConversion"/>
  </si>
  <si>
    <t>예결특위
조정 예산안
(사=다+바)</t>
    <phoneticPr fontId="17" type="noConversion"/>
  </si>
  <si>
    <t>상임위
조정 예산안
(마=다+라)</t>
    <phoneticPr fontId="17" type="noConversion"/>
  </si>
  <si>
    <t>상임위
부대의견</t>
    <phoneticPr fontId="1" type="noConversion"/>
  </si>
  <si>
    <t>예결특위 
부대의견</t>
    <phoneticPr fontId="1" type="noConversion"/>
  </si>
  <si>
    <t>통계목
코드</t>
    <phoneticPr fontId="1" type="noConversion"/>
  </si>
  <si>
    <t>예산안
/예산서
페이지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</si>
  <si>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"3. 일입"시트의 AK열 입력")
※ 매칭 세입이 없는 경우 세입번호에 "세입없음" 기재</t>
    </r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</si>
  <si>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(지방채/지역개발기금인 경우 "3. 일입"시트의 AN열 입력")
※ 매칭 세입이 없는 경우 세입번호에 "세입없음" 기재</t>
    </r>
    <phoneticPr fontId="1" type="noConversion"/>
  </si>
  <si>
    <t>상임위 세입/세출 검증</t>
    <phoneticPr fontId="1" type="noConversion"/>
  </si>
  <si>
    <t>예결위 세입/세출 검증</t>
    <phoneticPr fontId="1" type="noConversion"/>
  </si>
  <si>
    <t>국비 세입=국비 세출</t>
    <phoneticPr fontId="1" type="noConversion"/>
  </si>
  <si>
    <t>도비 세입=도비 세출</t>
    <phoneticPr fontId="1" type="noConversion"/>
  </si>
  <si>
    <t>국비 세입=국비 지출</t>
    <phoneticPr fontId="1" type="noConversion"/>
  </si>
  <si>
    <t>도비 세입=도비 세출</t>
    <phoneticPr fontId="1" type="noConversion"/>
  </si>
  <si>
    <t>건축정책과</t>
  </si>
  <si>
    <t>자산개발과</t>
  </si>
  <si>
    <t>기후대기연구부</t>
  </si>
  <si>
    <t>생활환경연구부</t>
  </si>
  <si>
    <t>도시개발국</t>
  </si>
  <si>
    <t>전국체전추진단</t>
  </si>
  <si>
    <t>경기도서관</t>
  </si>
  <si>
    <t>AI프런티어정책과</t>
  </si>
  <si>
    <t>AI데이터행정과</t>
  </si>
  <si>
    <t>AI인프라과</t>
  </si>
  <si>
    <t>경기도119특수대응단</t>
  </si>
  <si>
    <t>경기도북부119특수대응단</t>
  </si>
  <si>
    <t>언론홍보과</t>
  </si>
  <si>
    <t>디지털의사과</t>
  </si>
  <si>
    <t>공간정보화과</t>
  </si>
  <si>
    <t>법제과</t>
  </si>
  <si>
    <t>예산분석과</t>
  </si>
  <si>
    <t>의정지원과</t>
  </si>
  <si>
    <t>농업기술원</t>
  </si>
  <si>
    <t>인재개발원</t>
  </si>
  <si>
    <t>보건환경연구원</t>
  </si>
  <si>
    <t>수자원본부</t>
  </si>
  <si>
    <t>건설본부</t>
  </si>
  <si>
    <t>1</t>
  </si>
  <si>
    <t>10101</t>
  </si>
  <si>
    <t>2</t>
  </si>
  <si>
    <t>10102</t>
  </si>
  <si>
    <t>3</t>
  </si>
  <si>
    <t>10201</t>
  </si>
  <si>
    <t>4</t>
  </si>
  <si>
    <t>10202</t>
  </si>
  <si>
    <t>5</t>
  </si>
  <si>
    <t>10301</t>
  </si>
  <si>
    <t>6</t>
  </si>
  <si>
    <t>10401</t>
  </si>
  <si>
    <t>7</t>
  </si>
  <si>
    <t>10402</t>
  </si>
  <si>
    <t>8</t>
  </si>
  <si>
    <t>10403</t>
  </si>
  <si>
    <t>9</t>
  </si>
  <si>
    <t>10404</t>
  </si>
  <si>
    <t>10</t>
  </si>
  <si>
    <t>10501</t>
  </si>
  <si>
    <t>11</t>
  </si>
  <si>
    <t>10502</t>
  </si>
  <si>
    <t>12</t>
  </si>
  <si>
    <t>10503</t>
  </si>
  <si>
    <t>13</t>
  </si>
  <si>
    <t>10504</t>
  </si>
  <si>
    <t>14</t>
  </si>
  <si>
    <t>10505</t>
  </si>
  <si>
    <t>15</t>
  </si>
  <si>
    <t>10506</t>
  </si>
  <si>
    <t>16</t>
  </si>
  <si>
    <t>10507</t>
  </si>
  <si>
    <t>17</t>
  </si>
  <si>
    <t>10601</t>
  </si>
  <si>
    <t>18</t>
  </si>
  <si>
    <t>10602</t>
  </si>
  <si>
    <t>19</t>
  </si>
  <si>
    <t>10603</t>
  </si>
  <si>
    <t>20</t>
  </si>
  <si>
    <t>10604</t>
  </si>
  <si>
    <t>21</t>
  </si>
  <si>
    <t>10605</t>
  </si>
  <si>
    <t>22</t>
  </si>
  <si>
    <t>10606</t>
  </si>
  <si>
    <t>23</t>
  </si>
  <si>
    <t>10701</t>
  </si>
  <si>
    <t>24</t>
  </si>
  <si>
    <t>10702</t>
  </si>
  <si>
    <t>25</t>
  </si>
  <si>
    <t>10703</t>
  </si>
  <si>
    <t>26</t>
  </si>
  <si>
    <t>10704</t>
  </si>
  <si>
    <t>27</t>
  </si>
  <si>
    <t>10705</t>
  </si>
  <si>
    <t>28</t>
  </si>
  <si>
    <t>10706</t>
  </si>
  <si>
    <t>29</t>
  </si>
  <si>
    <t>10707</t>
  </si>
  <si>
    <t>30</t>
  </si>
  <si>
    <t>10708</t>
  </si>
  <si>
    <t>31</t>
  </si>
  <si>
    <t>10709</t>
  </si>
  <si>
    <t>32</t>
  </si>
  <si>
    <t>10710</t>
  </si>
  <si>
    <t>33</t>
  </si>
  <si>
    <t>10711</t>
  </si>
  <si>
    <t>34</t>
  </si>
  <si>
    <t>35</t>
  </si>
  <si>
    <t>10801</t>
  </si>
  <si>
    <t>36</t>
  </si>
  <si>
    <t>10802</t>
  </si>
  <si>
    <t>37</t>
  </si>
  <si>
    <t>10803</t>
  </si>
  <si>
    <t>38</t>
  </si>
  <si>
    <t>10804</t>
  </si>
  <si>
    <t>39</t>
  </si>
  <si>
    <t>10805</t>
  </si>
  <si>
    <t>40</t>
  </si>
  <si>
    <t>10806</t>
  </si>
  <si>
    <t>41</t>
  </si>
  <si>
    <t>10807</t>
  </si>
  <si>
    <t>42</t>
  </si>
  <si>
    <t>10808</t>
  </si>
  <si>
    <t>43</t>
  </si>
  <si>
    <t>10901</t>
  </si>
  <si>
    <t>44</t>
  </si>
  <si>
    <t>10902</t>
  </si>
  <si>
    <t>45</t>
  </si>
  <si>
    <t>10903</t>
  </si>
  <si>
    <t>46</t>
  </si>
  <si>
    <t>10904</t>
  </si>
  <si>
    <t>47</t>
  </si>
  <si>
    <t>10905</t>
  </si>
  <si>
    <t>48</t>
  </si>
  <si>
    <t>11001</t>
  </si>
  <si>
    <t>49</t>
  </si>
  <si>
    <t>11002</t>
  </si>
  <si>
    <t>50</t>
  </si>
  <si>
    <t>11003</t>
  </si>
  <si>
    <t>51</t>
  </si>
  <si>
    <t>11004</t>
  </si>
  <si>
    <t>52</t>
  </si>
  <si>
    <t>11005</t>
  </si>
  <si>
    <t>53</t>
  </si>
  <si>
    <t>11006</t>
  </si>
  <si>
    <t>54</t>
  </si>
  <si>
    <t>11007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</si>
  <si>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</si>
  <si>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</si>
  <si>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</si>
  <si>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</si>
  <si>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</si>
  <si>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</si>
  <si>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</si>
  <si>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</si>
  <si>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</si>
  <si>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</si>
  <si>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14001</t>
  </si>
  <si>
    <t>65</t>
  </si>
  <si>
    <t>14002</t>
  </si>
  <si>
    <t>66</t>
  </si>
  <si>
    <t>14003</t>
  </si>
  <si>
    <t>67</t>
  </si>
  <si>
    <t>14004</t>
  </si>
  <si>
    <t>68</t>
  </si>
  <si>
    <t>14005</t>
  </si>
  <si>
    <t>69</t>
  </si>
  <si>
    <t>14006</t>
  </si>
  <si>
    <t>70</t>
  </si>
  <si>
    <t>14007</t>
  </si>
  <si>
    <t>71</t>
  </si>
  <si>
    <t>15001</t>
  </si>
  <si>
    <t>72</t>
  </si>
  <si>
    <t>30602</t>
  </si>
  <si>
    <t>73</t>
  </si>
  <si>
    <t>15003</t>
  </si>
  <si>
    <t>74</t>
  </si>
  <si>
    <t>15004</t>
  </si>
  <si>
    <t>75</t>
  </si>
  <si>
    <t>16001</t>
  </si>
  <si>
    <t>76</t>
  </si>
  <si>
    <t>16002</t>
  </si>
  <si>
    <t>77</t>
  </si>
  <si>
    <t>16003</t>
  </si>
  <si>
    <t>78</t>
  </si>
  <si>
    <t>16004</t>
  </si>
  <si>
    <t>79</t>
  </si>
  <si>
    <t>16005</t>
  </si>
  <si>
    <t>80</t>
  </si>
  <si>
    <t>16006</t>
  </si>
  <si>
    <t>81</t>
  </si>
  <si>
    <t>20101</t>
  </si>
  <si>
    <t>82</t>
  </si>
  <si>
    <t>20102</t>
  </si>
  <si>
    <t>83</t>
  </si>
  <si>
    <t>20103</t>
  </si>
  <si>
    <t>84</t>
  </si>
  <si>
    <t>20104</t>
  </si>
  <si>
    <t>85</t>
  </si>
  <si>
    <t>20105</t>
  </si>
  <si>
    <t>86</t>
  </si>
  <si>
    <t>20106</t>
  </si>
  <si>
    <t>87</t>
  </si>
  <si>
    <t>17001</t>
  </si>
  <si>
    <t>88</t>
  </si>
  <si>
    <t>17002</t>
  </si>
  <si>
    <t>89</t>
  </si>
  <si>
    <t>20201</t>
  </si>
  <si>
    <t>90</t>
  </si>
  <si>
    <t>20202</t>
  </si>
  <si>
    <t>91</t>
  </si>
  <si>
    <t>20203</t>
  </si>
  <si>
    <t>92</t>
  </si>
  <si>
    <t>20301</t>
  </si>
  <si>
    <t>93</t>
  </si>
  <si>
    <t>20302</t>
  </si>
  <si>
    <t>94</t>
  </si>
  <si>
    <t>20303</t>
  </si>
  <si>
    <t>95</t>
  </si>
  <si>
    <t>20304</t>
  </si>
  <si>
    <t>96</t>
  </si>
  <si>
    <t>97</t>
  </si>
  <si>
    <t>20401</t>
  </si>
  <si>
    <t>98</t>
  </si>
  <si>
    <t>20402</t>
  </si>
  <si>
    <t>99</t>
  </si>
  <si>
    <t>20403</t>
  </si>
  <si>
    <t>100</t>
  </si>
  <si>
    <t>20404</t>
  </si>
  <si>
    <t>101</t>
  </si>
  <si>
    <t>20405</t>
  </si>
  <si>
    <t>102</t>
  </si>
  <si>
    <t>20501</t>
  </si>
  <si>
    <t>103</t>
  </si>
  <si>
    <t>20502</t>
  </si>
  <si>
    <t>104</t>
  </si>
  <si>
    <t>20503</t>
  </si>
  <si>
    <t>105</t>
  </si>
  <si>
    <t>20504</t>
  </si>
  <si>
    <t>106</t>
  </si>
  <si>
    <t>20505</t>
  </si>
  <si>
    <t>107</t>
  </si>
  <si>
    <t>20601</t>
  </si>
  <si>
    <t>108</t>
  </si>
  <si>
    <t>20603</t>
  </si>
  <si>
    <t>109</t>
  </si>
  <si>
    <t>20602</t>
  </si>
  <si>
    <t>110</t>
  </si>
  <si>
    <t>20604</t>
  </si>
  <si>
    <t>111</t>
  </si>
  <si>
    <t>20701</t>
  </si>
  <si>
    <t>112</t>
  </si>
  <si>
    <t>20702</t>
  </si>
  <si>
    <t>113</t>
  </si>
  <si>
    <t>20703</t>
  </si>
  <si>
    <t>114</t>
  </si>
  <si>
    <t>20704</t>
  </si>
  <si>
    <t>115</t>
  </si>
  <si>
    <t>20705</t>
  </si>
  <si>
    <t>116</t>
  </si>
  <si>
    <t>20706</t>
  </si>
  <si>
    <t>117</t>
  </si>
  <si>
    <t>20707</t>
  </si>
  <si>
    <t>118</t>
  </si>
  <si>
    <t>119</t>
  </si>
  <si>
    <t>30201</t>
  </si>
  <si>
    <t>120</t>
  </si>
  <si>
    <t>30202</t>
  </si>
  <si>
    <t>121</t>
  </si>
  <si>
    <t>30301</t>
  </si>
  <si>
    <t>122</t>
  </si>
  <si>
    <t>30302</t>
  </si>
  <si>
    <t>123</t>
  </si>
  <si>
    <t>30303</t>
  </si>
  <si>
    <t>124</t>
  </si>
  <si>
    <t>30304</t>
  </si>
  <si>
    <t>125</t>
  </si>
  <si>
    <t>30305</t>
  </si>
  <si>
    <t>126</t>
  </si>
  <si>
    <t>30306</t>
  </si>
  <si>
    <t>127</t>
  </si>
  <si>
    <t>30309</t>
  </si>
  <si>
    <t>128</t>
  </si>
  <si>
    <t>30701</t>
  </si>
  <si>
    <t>129</t>
  </si>
  <si>
    <t>30504</t>
  </si>
  <si>
    <t>130</t>
  </si>
  <si>
    <t>10508</t>
  </si>
  <si>
    <t>131</t>
  </si>
  <si>
    <t>10509</t>
  </si>
  <si>
    <t>132</t>
  </si>
  <si>
    <t>30801</t>
  </si>
  <si>
    <t>133</t>
  </si>
  <si>
    <t>30307</t>
  </si>
  <si>
    <t>134</t>
  </si>
  <si>
    <t>30308</t>
  </si>
  <si>
    <t>135</t>
  </si>
  <si>
    <t>30401</t>
  </si>
  <si>
    <t>136</t>
  </si>
  <si>
    <t>30402</t>
  </si>
  <si>
    <t>137</t>
  </si>
  <si>
    <t>30403</t>
  </si>
  <si>
    <t>138</t>
  </si>
  <si>
    <t>30404</t>
  </si>
  <si>
    <t>139</t>
  </si>
  <si>
    <t>30405</t>
  </si>
  <si>
    <t>140</t>
  </si>
  <si>
    <t>30406</t>
  </si>
  <si>
    <t>141</t>
  </si>
  <si>
    <t>30407</t>
  </si>
  <si>
    <t>142</t>
  </si>
  <si>
    <t>30408</t>
  </si>
  <si>
    <t>143</t>
  </si>
  <si>
    <t>30409</t>
  </si>
  <si>
    <t>144</t>
  </si>
  <si>
    <t>30410</t>
  </si>
  <si>
    <t>145</t>
  </si>
  <si>
    <t>30501</t>
  </si>
  <si>
    <t>146</t>
  </si>
  <si>
    <t>30502</t>
  </si>
  <si>
    <t>147</t>
  </si>
  <si>
    <t>30503</t>
  </si>
  <si>
    <t>148</t>
  </si>
  <si>
    <t>30505</t>
  </si>
  <si>
    <t>149</t>
  </si>
  <si>
    <t>30506</t>
  </si>
  <si>
    <t>150</t>
  </si>
  <si>
    <t>30601</t>
  </si>
  <si>
    <t>151</t>
  </si>
  <si>
    <t>30603</t>
  </si>
  <si>
    <t>152</t>
  </si>
  <si>
    <t>30604</t>
  </si>
  <si>
    <t>153</t>
  </si>
  <si>
    <t>30605</t>
  </si>
  <si>
    <t>154</t>
  </si>
  <si>
    <t>40101</t>
  </si>
  <si>
    <t>155</t>
  </si>
  <si>
    <t>40102</t>
  </si>
  <si>
    <t>156</t>
  </si>
  <si>
    <t>40103</t>
  </si>
  <si>
    <t>157</t>
  </si>
  <si>
    <t>40104</t>
  </si>
  <si>
    <t>158</t>
  </si>
  <si>
    <t>40105</t>
  </si>
  <si>
    <t>159</t>
  </si>
  <si>
    <t>40106</t>
  </si>
  <si>
    <t>160</t>
  </si>
  <si>
    <t>40107</t>
  </si>
  <si>
    <t>161</t>
  </si>
  <si>
    <t>40108</t>
  </si>
  <si>
    <t>162</t>
  </si>
  <si>
    <t>40109</t>
  </si>
  <si>
    <t>163</t>
  </si>
  <si>
    <t>40110</t>
  </si>
  <si>
    <t>164</t>
  </si>
  <si>
    <t>40111</t>
  </si>
  <si>
    <t>165</t>
  </si>
  <si>
    <t>40201</t>
  </si>
  <si>
    <t>166</t>
  </si>
  <si>
    <t>40202</t>
  </si>
  <si>
    <t>167</t>
  </si>
  <si>
    <t>40203</t>
  </si>
  <si>
    <t>168</t>
  </si>
  <si>
    <t>40204</t>
  </si>
  <si>
    <t>169</t>
  </si>
  <si>
    <t>40205</t>
  </si>
  <si>
    <t>170</t>
  </si>
  <si>
    <t>40301</t>
  </si>
  <si>
    <t>171</t>
  </si>
  <si>
    <t>40302</t>
  </si>
  <si>
    <t>172</t>
  </si>
  <si>
    <t>40303</t>
  </si>
  <si>
    <t>173</t>
  </si>
  <si>
    <t>40401</t>
  </si>
  <si>
    <t>174</t>
  </si>
  <si>
    <t>40402</t>
  </si>
  <si>
    <t>175</t>
  </si>
  <si>
    <t>40403</t>
  </si>
  <si>
    <t>176</t>
  </si>
  <si>
    <t>40404</t>
  </si>
  <si>
    <t>177</t>
  </si>
  <si>
    <t>40405</t>
  </si>
  <si>
    <t>178</t>
  </si>
  <si>
    <t>40406</t>
  </si>
  <si>
    <t>179</t>
  </si>
  <si>
    <t>40407</t>
  </si>
  <si>
    <t>180</t>
  </si>
  <si>
    <t>40408</t>
  </si>
  <si>
    <t>181</t>
  </si>
  <si>
    <t>40409</t>
  </si>
  <si>
    <t>182</t>
  </si>
  <si>
    <t>40410</t>
  </si>
  <si>
    <t>183</t>
  </si>
  <si>
    <t>40411</t>
  </si>
  <si>
    <t>184</t>
  </si>
  <si>
    <t>40412</t>
  </si>
  <si>
    <t>185</t>
  </si>
  <si>
    <t>40413</t>
  </si>
  <si>
    <t>186</t>
  </si>
  <si>
    <t>40414</t>
  </si>
  <si>
    <t>187</t>
  </si>
  <si>
    <t>40415</t>
  </si>
  <si>
    <t>188</t>
  </si>
  <si>
    <t>40416</t>
  </si>
  <si>
    <t>189</t>
  </si>
  <si>
    <t>40417</t>
  </si>
  <si>
    <t>190</t>
  </si>
  <si>
    <t>40418</t>
  </si>
  <si>
    <t>191</t>
  </si>
  <si>
    <t>40419</t>
  </si>
  <si>
    <t>192</t>
  </si>
  <si>
    <t>40420</t>
  </si>
  <si>
    <t>193</t>
  </si>
  <si>
    <t>40421</t>
  </si>
  <si>
    <t>194</t>
  </si>
  <si>
    <t>40422</t>
  </si>
  <si>
    <t>195</t>
  </si>
  <si>
    <t>40423</t>
  </si>
  <si>
    <t>196</t>
  </si>
  <si>
    <t>40424</t>
  </si>
  <si>
    <t>197</t>
  </si>
  <si>
    <t>40425</t>
  </si>
  <si>
    <t>198</t>
  </si>
  <si>
    <t>40426</t>
  </si>
  <si>
    <t>199</t>
  </si>
  <si>
    <t>40427</t>
  </si>
  <si>
    <t>200</t>
  </si>
  <si>
    <t>40428</t>
  </si>
  <si>
    <t>201</t>
  </si>
  <si>
    <t>40429</t>
  </si>
  <si>
    <t>202</t>
  </si>
  <si>
    <t>40430</t>
  </si>
  <si>
    <t>203</t>
  </si>
  <si>
    <t>40431</t>
  </si>
  <si>
    <t>204</t>
  </si>
  <si>
    <t>40432</t>
  </si>
  <si>
    <t>205</t>
  </si>
  <si>
    <t>40433</t>
  </si>
  <si>
    <t>206</t>
  </si>
  <si>
    <t>40434</t>
  </si>
  <si>
    <t>207</t>
  </si>
  <si>
    <t>40435</t>
  </si>
  <si>
    <t>208</t>
  </si>
  <si>
    <t>40436</t>
  </si>
  <si>
    <t>209</t>
  </si>
  <si>
    <t>50101</t>
  </si>
  <si>
    <t>210</t>
  </si>
  <si>
    <t>50107</t>
  </si>
  <si>
    <t>211</t>
  </si>
  <si>
    <t>50102</t>
  </si>
  <si>
    <t>212</t>
  </si>
  <si>
    <t>50103</t>
  </si>
  <si>
    <t>213</t>
  </si>
  <si>
    <t>50104</t>
  </si>
  <si>
    <t>214</t>
  </si>
  <si>
    <t>50105</t>
  </si>
  <si>
    <t>215</t>
  </si>
  <si>
    <t>50106</t>
  </si>
  <si>
    <t>216</t>
  </si>
  <si>
    <t>50109</t>
  </si>
  <si>
    <t>217</t>
  </si>
  <si>
    <t>50108</t>
  </si>
  <si>
    <t>218</t>
  </si>
  <si>
    <t>50201</t>
  </si>
  <si>
    <t>219</t>
  </si>
  <si>
    <t>50202</t>
  </si>
  <si>
    <t>220</t>
  </si>
  <si>
    <t>50203</t>
  </si>
  <si>
    <t>221</t>
  </si>
  <si>
    <t>50204</t>
  </si>
  <si>
    <t>222</t>
  </si>
  <si>
    <t>50205</t>
  </si>
  <si>
    <t>223</t>
  </si>
  <si>
    <t>50206</t>
  </si>
  <si>
    <t>224</t>
  </si>
  <si>
    <t>50207</t>
  </si>
  <si>
    <t>225</t>
  </si>
  <si>
    <t>50208</t>
  </si>
  <si>
    <t>226</t>
  </si>
  <si>
    <t>50209</t>
  </si>
  <si>
    <t>227</t>
  </si>
  <si>
    <t>50210</t>
  </si>
  <si>
    <t>228</t>
  </si>
  <si>
    <t>50301</t>
  </si>
  <si>
    <t>229</t>
  </si>
  <si>
    <t>50302</t>
  </si>
  <si>
    <t>230</t>
  </si>
  <si>
    <t>50401</t>
  </si>
  <si>
    <t>231</t>
  </si>
  <si>
    <t>50402</t>
  </si>
  <si>
    <t>232</t>
  </si>
  <si>
    <t>50403</t>
  </si>
  <si>
    <t>233</t>
  </si>
  <si>
    <t>50404</t>
  </si>
  <si>
    <t>234</t>
  </si>
  <si>
    <t>50406</t>
  </si>
  <si>
    <t>235</t>
  </si>
  <si>
    <t>50407</t>
  </si>
  <si>
    <t>236</t>
  </si>
  <si>
    <t>50405</t>
  </si>
  <si>
    <t>237</t>
  </si>
  <si>
    <t>50408</t>
  </si>
  <si>
    <t>238</t>
  </si>
  <si>
    <t>50501</t>
  </si>
  <si>
    <t>239</t>
  </si>
  <si>
    <t>50502</t>
  </si>
  <si>
    <t>240</t>
  </si>
  <si>
    <t>50503</t>
  </si>
  <si>
    <t>241</t>
  </si>
  <si>
    <t>50601</t>
  </si>
  <si>
    <t>242</t>
  </si>
  <si>
    <t>50602</t>
  </si>
  <si>
    <t>243</t>
  </si>
  <si>
    <t>50603</t>
  </si>
  <si>
    <t>244</t>
  </si>
  <si>
    <t>50604</t>
  </si>
  <si>
    <t>245</t>
  </si>
  <si>
    <t>50701</t>
  </si>
  <si>
    <t>246</t>
  </si>
  <si>
    <t>50702</t>
  </si>
  <si>
    <t>247</t>
  </si>
  <si>
    <t>50703</t>
  </si>
  <si>
    <t>248</t>
  </si>
  <si>
    <t>50704</t>
  </si>
  <si>
    <t>249</t>
  </si>
  <si>
    <t>250</t>
  </si>
  <si>
    <t>251</t>
  </si>
  <si>
    <t>252</t>
  </si>
  <si>
    <t>253</t>
  </si>
  <si>
    <t>위원회별 부서</t>
    <phoneticPr fontId="1" type="noConversion"/>
  </si>
  <si>
    <t>위원회별 실국</t>
    <phoneticPr fontId="1" type="noConversion"/>
  </si>
  <si>
    <t>북부지원</t>
    <phoneticPr fontId="1" type="noConversion"/>
  </si>
  <si>
    <t>건설교통위원회</t>
    <phoneticPr fontId="1" type="noConversion"/>
  </si>
  <si>
    <t>711-02</t>
  </si>
  <si>
    <t>711-03</t>
  </si>
  <si>
    <t>지정재원잉여금</t>
  </si>
  <si>
    <t>기타법정잉여금</t>
  </si>
  <si>
    <t>★지역개발기금 검증(내부거래)★</t>
    <phoneticPr fontId="1" type="noConversion"/>
  </si>
  <si>
    <r>
      <rPr>
        <b/>
        <sz val="6"/>
        <color theme="1"/>
        <rFont val="맑은 고딕"/>
        <family val="3"/>
        <charset val="129"/>
        <scheme val="minor"/>
      </rPr>
      <t>세입=세출</t>
    </r>
    <r>
      <rPr>
        <b/>
        <sz val="10"/>
        <color theme="1"/>
        <rFont val="맑은 고딕"/>
        <family val="3"/>
        <charset val="129"/>
        <scheme val="minor"/>
      </rPr>
      <t xml:space="preserve">
검증</t>
    </r>
    <phoneticPr fontId="1" type="noConversion"/>
  </si>
  <si>
    <t>기금 발행액</t>
    <phoneticPr fontId="1" type="noConversion"/>
  </si>
  <si>
    <r>
      <rPr>
        <b/>
        <sz val="6"/>
        <color theme="1"/>
        <rFont val="맑은 고딕"/>
        <family val="3"/>
        <charset val="129"/>
        <scheme val="minor"/>
      </rPr>
      <t>사용액=발행액</t>
    </r>
    <r>
      <rPr>
        <b/>
        <sz val="10"/>
        <color theme="1"/>
        <rFont val="맑은 고딕"/>
        <family val="3"/>
        <charset val="129"/>
        <scheme val="minor"/>
      </rPr>
      <t xml:space="preserve">
검증</t>
    </r>
    <phoneticPr fontId="1" type="noConversion"/>
  </si>
  <si>
    <t>일출(자체)</t>
    <phoneticPr fontId="1" type="noConversion"/>
  </si>
  <si>
    <t>일출(의존)</t>
    <phoneticPr fontId="1" type="noConversion"/>
  </si>
  <si>
    <t>일반회계 
지역개발기금 편성액</t>
    <phoneticPr fontId="1" type="noConversion"/>
  </si>
  <si>
    <t>★회계간 내부거래 검증★</t>
    <phoneticPr fontId="1" type="noConversion"/>
  </si>
  <si>
    <t>전출금</t>
    <phoneticPr fontId="1" type="noConversion"/>
  </si>
  <si>
    <t>전입금</t>
    <phoneticPr fontId="1" type="noConversion"/>
  </si>
  <si>
    <t>일반+기타 계</t>
    <phoneticPr fontId="1" type="noConversion"/>
  </si>
  <si>
    <t>일반→기타</t>
    <phoneticPr fontId="1" type="noConversion"/>
  </si>
  <si>
    <t>701-01</t>
    <phoneticPr fontId="1" type="noConversion"/>
  </si>
  <si>
    <t>721-03</t>
    <phoneticPr fontId="1" type="noConversion"/>
  </si>
  <si>
    <t>기타→일반,기타</t>
    <phoneticPr fontId="1" type="noConversion"/>
  </si>
  <si>
    <t>기금→일반,기타</t>
    <phoneticPr fontId="1" type="noConversion"/>
  </si>
  <si>
    <t>721-04</t>
    <phoneticPr fontId="1" type="noConversion"/>
  </si>
  <si>
    <t>기금 계</t>
    <phoneticPr fontId="1" type="noConversion"/>
  </si>
  <si>
    <t>일반→기금</t>
    <phoneticPr fontId="1" type="noConversion"/>
  </si>
  <si>
    <t>702-01</t>
    <phoneticPr fontId="1" type="noConversion"/>
  </si>
  <si>
    <t>기타→기금</t>
    <phoneticPr fontId="1" type="noConversion"/>
  </si>
  <si>
    <t>기금→기금</t>
    <phoneticPr fontId="1" type="noConversion"/>
  </si>
  <si>
    <t>2026년도 경기도 제2회 추가경정예산안 및 기금운용계획 변경안</t>
  </si>
  <si>
    <t>2026년 제2회 추가경정 일반회계 검증</t>
  </si>
  <si>
    <t>증감액
(2회추경안)
(나)</t>
    <phoneticPr fontId="1" type="noConversion"/>
  </si>
  <si>
    <t>2추</t>
  </si>
  <si>
    <t>1추</t>
  </si>
  <si>
    <t>본예산</t>
  </si>
  <si>
    <t>신규</t>
  </si>
  <si>
    <t>기정액
(본예산+1추)
(가)</t>
    <phoneticPr fontId="1" type="noConversion"/>
  </si>
  <si>
    <t>수질총량과</t>
    <phoneticPr fontId="1" type="noConversion"/>
  </si>
  <si>
    <t>511-02</t>
  </si>
  <si>
    <t>공중화장실 안전관리시설 설치 지원</t>
  </si>
  <si>
    <t>행정안전부 주소정보혁신과-4513(2026. 9. 2.)호</t>
  </si>
  <si>
    <t>공중화장실 안전관리시설 설치지원(불법촬영탐지시스템)(균특/지원)</t>
  </si>
  <si>
    <t>불법촬영탐지시스템 설치지원비</t>
  </si>
  <si>
    <t>50604-1</t>
  </si>
  <si>
    <t>행정안전부 주소정보혁신과-4513 (2026.09.02.)</t>
  </si>
  <si>
    <t>가족돌봄수당 지원(자체/지원)</t>
  </si>
  <si>
    <t>가족돌봄수당 지원</t>
  </si>
  <si>
    <t>308-13</t>
  </si>
  <si>
    <t>경기도 여성청소년 생리용품 보편지원(자체/지원)</t>
  </si>
  <si>
    <t>경기도 여성청소년 생리용품 보편지원</t>
  </si>
  <si>
    <t>경기도 청소년활동진흥센터 운영(전환)(자체/직접)</t>
  </si>
  <si>
    <t>경기도 청소년활동진흥센터 운영 및 사업지원</t>
  </si>
  <si>
    <t>이민사회정책과</t>
    <phoneticPr fontId="1" type="noConversion"/>
  </si>
  <si>
    <t>도민공론장/민주시민워크숍(자체/직접)</t>
  </si>
  <si>
    <t>도민공론장/민주시민워크숍</t>
  </si>
  <si>
    <t>경기도 이주노동자 안전특화센터 설치 및 운영</t>
  </si>
  <si>
    <t>307-05</t>
    <phoneticPr fontId="1" type="noConversion"/>
  </si>
  <si>
    <t>외국인근로자 지역정착 지원사업(국비/직접)</t>
  </si>
  <si>
    <t>부동의</t>
  </si>
  <si>
    <t>동의</t>
  </si>
  <si>
    <t>511-01</t>
    <phoneticPr fontId="1" type="noConversion"/>
  </si>
  <si>
    <t>20304-1</t>
    <phoneticPr fontId="1" type="noConversion"/>
  </si>
  <si>
    <t>고용노동부 외국인력담당관-2662(2026.08.06.)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</si>
</sst>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#,##0_ ;[Red]\-#,##0\ "/>
    <numFmt numFmtId="177" formatCode="#,##0;[Red]&quot;△&quot;#,##0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0.000"/>
    <numFmt numFmtId="184" formatCode="#,##0_ "/>
  </numFmts>
  <fonts count="1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color theme="1"/>
      <name val="궁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sz val="14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8"/>
      <color rgb="FF0000CC"/>
      <name val="HY헤드라인M"/>
      <family val="1"/>
      <charset val="129"/>
    </font>
    <font>
      <b/>
      <sz val="16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42"/>
      <color rgb="FF0000CC"/>
      <name val="HY견명조"/>
      <family val="1"/>
      <charset val="129"/>
    </font>
    <font>
      <b/>
      <sz val="20"/>
      <color theme="1"/>
      <name val="HY견명조"/>
      <family val="1"/>
      <charset val="129"/>
    </font>
    <font>
      <b/>
      <sz val="30"/>
      <color theme="1"/>
      <name val="HY견명조"/>
      <family val="1"/>
      <charset val="129"/>
    </font>
    <font>
      <b/>
      <sz val="22"/>
      <color theme="1"/>
      <name val="HY견명조"/>
      <family val="1"/>
      <charset val="129"/>
    </font>
    <font>
      <b/>
      <sz val="16"/>
      <color rgb="FF0000CC"/>
      <name val="HY견고딕"/>
      <family val="1"/>
      <charset val="129"/>
    </font>
    <font>
      <sz val="8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ajor"/>
    </font>
    <font>
      <sz val="15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8"/>
      <color theme="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9"/>
      <color indexed="81"/>
      <name val="Tahoma"/>
      <family val="2"/>
    </font>
    <font>
      <sz val="8"/>
      <name val="맑은 고딕"/>
      <family val="3"/>
      <charset val="129"/>
    </font>
    <font>
      <sz val="10"/>
      <color rgb="FF000000"/>
      <name val="경기천년바탕 Regular"/>
      <family val="1"/>
      <charset val="129"/>
    </font>
    <font>
      <b/>
      <sz val="10"/>
      <color rgb="FF000000"/>
      <name val="경기천년바탕 Regular"/>
      <family val="1"/>
      <charset val="129"/>
    </font>
    <font>
      <sz val="10"/>
      <color rgb="FFFF0000"/>
      <name val="경기천년바탕 Regular"/>
      <family val="1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8"/>
      <color indexed="81"/>
      <name val="돋움"/>
      <family val="3"/>
      <charset val="129"/>
    </font>
    <font>
      <sz val="20"/>
      <color indexed="81"/>
      <name val="돋움"/>
      <family val="3"/>
      <charset val="129"/>
    </font>
    <font>
      <sz val="22"/>
      <color indexed="81"/>
      <name val="돋움"/>
      <family val="3"/>
      <charset val="129"/>
    </font>
    <font>
      <b/>
      <sz val="22"/>
      <color indexed="81"/>
      <name val="돋움"/>
      <family val="3"/>
      <charset val="129"/>
    </font>
    <font>
      <b/>
      <sz val="18"/>
      <color theme="1"/>
      <name val="돋움"/>
      <family val="3"/>
      <charset val="129"/>
    </font>
    <font>
      <b/>
      <sz val="18"/>
      <color rgb="FFFF0000"/>
      <name val="돋움"/>
      <family val="3"/>
      <charset val="129"/>
    </font>
    <font>
      <b/>
      <sz val="18"/>
      <color rgb="FF0000CC"/>
      <name val="돋움"/>
      <family val="3"/>
      <charset val="129"/>
    </font>
    <font>
      <b/>
      <sz val="48"/>
      <color theme="1"/>
      <name val="HY견명조"/>
      <family val="1"/>
      <charset val="129"/>
    </font>
    <font>
      <b/>
      <sz val="48"/>
      <color rgb="FFFF0000"/>
      <name val="HY견명조"/>
      <family val="1"/>
      <charset val="129"/>
    </font>
    <font>
      <sz val="48"/>
      <color theme="1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color indexed="81"/>
      <name val="돋움"/>
      <family val="3"/>
      <charset val="129"/>
    </font>
    <font>
      <sz val="36"/>
      <color theme="1"/>
      <name val="경기천년제목 Medium"/>
      <family val="1"/>
      <charset val="129"/>
    </font>
    <font>
      <sz val="36"/>
      <name val="경기천년제목 Medium"/>
      <family val="1"/>
      <charset val="129"/>
    </font>
    <font>
      <b/>
      <sz val="18"/>
      <name val="돋움"/>
      <family val="3"/>
      <charset val="129"/>
    </font>
    <font>
      <sz val="20"/>
      <color indexed="81"/>
      <name val="Tahoma"/>
      <family val="2"/>
    </font>
    <font>
      <sz val="14"/>
      <color theme="0"/>
      <name val="맑은 고딕"/>
      <family val="2"/>
      <charset val="129"/>
      <scheme val="minor"/>
    </font>
    <font>
      <sz val="36"/>
      <color rgb="FFFF0000"/>
      <name val="경기천년제목 Medium"/>
      <family val="1"/>
      <charset val="129"/>
    </font>
    <font>
      <sz val="36"/>
      <color rgb="FF0000FF"/>
      <name val="경기천년제목 Medium"/>
      <family val="1"/>
      <charset val="129"/>
    </font>
    <font>
      <b/>
      <sz val="14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22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sz val="20"/>
      <color rgb="FFFF0000"/>
      <name val="맑은 고딕"/>
      <family val="3"/>
      <charset val="129"/>
      <scheme val="minor"/>
    </font>
    <font>
      <sz val="18"/>
      <color theme="1"/>
      <name val="돋움"/>
      <family val="3"/>
      <charset val="129"/>
    </font>
    <font>
      <sz val="18"/>
      <color theme="1"/>
      <name val="맑은 고딕"/>
      <family val="3"/>
      <charset val="129"/>
    </font>
    <font>
      <b/>
      <sz val="15"/>
      <name val="맑은 고딕"/>
      <family val="3"/>
      <charset val="129"/>
      <scheme val="major"/>
    </font>
    <font>
      <sz val="20"/>
      <name val="경기천년제목 Medium"/>
      <family val="1"/>
      <charset val="129"/>
    </font>
    <font>
      <sz val="20"/>
      <color theme="1"/>
      <name val="경기천년제목 Medium"/>
      <family val="1"/>
      <charset val="129"/>
    </font>
    <font>
      <b/>
      <sz val="20"/>
      <color theme="1"/>
      <name val="돋움"/>
      <family val="3"/>
      <charset val="129"/>
    </font>
    <font>
      <sz val="18"/>
      <color rgb="FFFF0000"/>
      <name val="경기천년제목 Medium"/>
      <family val="1"/>
      <charset val="129"/>
    </font>
    <font>
      <sz val="18"/>
      <color rgb="FFFF0000"/>
      <name val="맑은 고딕"/>
      <family val="3"/>
      <charset val="129"/>
      <scheme val="minor"/>
    </font>
    <font>
      <sz val="18"/>
      <color theme="1"/>
      <name val="경기천년제목 Medium"/>
      <family val="1"/>
      <charset val="129"/>
    </font>
    <font>
      <sz val="18"/>
      <color indexed="81"/>
      <name val="Tahoma"/>
      <family val="2"/>
    </font>
    <font>
      <sz val="11"/>
      <color rgb="FF9C0006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</fonts>
  <fills count="6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1CB7E"/>
        <bgColor indexed="64"/>
      </patternFill>
    </fill>
    <fill>
      <patternFill patternType="solid">
        <fgColor rgb="FFC2DFA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7CE"/>
      </patternFill>
    </fill>
  </fills>
  <borders count="9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77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8" fillId="0" borderId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9" fillId="0" borderId="0" applyFill="0" applyAlignment="0"/>
    <xf numFmtId="0" fontId="19" fillId="0" borderId="0" applyNumberFormat="0" applyBorder="0" applyProtection="0"/>
    <xf numFmtId="0" fontId="19" fillId="0" borderId="0" applyNumberFormat="0" applyBorder="0" applyProtection="0"/>
    <xf numFmtId="41" fontId="6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/>
    <xf numFmtId="41" fontId="26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9" borderId="12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8" fillId="9" borderId="13" applyNumberFormat="0" applyFont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1" borderId="14" applyNumberFormat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16" borderId="12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4" fillId="29" borderId="20" applyNumberFormat="0" applyAlignment="0" applyProtection="0">
      <alignment vertical="center"/>
    </xf>
    <xf numFmtId="0" fontId="45" fillId="0" borderId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46" fillId="0" borderId="0" applyFont="0" applyFill="0" applyBorder="0" applyAlignment="0" applyProtection="0"/>
    <xf numFmtId="18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47" fillId="0" borderId="0" applyFont="0" applyFill="0" applyBorder="0" applyAlignment="0" applyProtection="0"/>
    <xf numFmtId="182" fontId="18" fillId="0" borderId="0" applyFont="0" applyFill="0" applyBorder="0" applyAlignment="0" applyProtection="0"/>
    <xf numFmtId="38" fontId="48" fillId="29" borderId="0" applyNumberFormat="0" applyBorder="0" applyAlignment="0" applyProtection="0"/>
    <xf numFmtId="0" fontId="49" fillId="0" borderId="21" applyNumberFormat="0" applyAlignment="0" applyProtection="0">
      <alignment horizontal="left" vertical="center"/>
    </xf>
    <xf numFmtId="0" fontId="49" fillId="0" borderId="8">
      <alignment horizontal="left" vertical="center"/>
    </xf>
    <xf numFmtId="10" fontId="48" fillId="9" borderId="2" applyNumberFormat="0" applyBorder="0" applyAlignment="0" applyProtection="0"/>
    <xf numFmtId="182" fontId="18" fillId="0" borderId="0"/>
    <xf numFmtId="0" fontId="26" fillId="0" borderId="0"/>
    <xf numFmtId="10" fontId="26" fillId="0" borderId="0" applyFont="0" applyFill="0" applyBorder="0" applyAlignment="0" applyProtection="0"/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9" fontId="19" fillId="0" borderId="0" applyFont="0" applyFill="0" applyAlignment="0" applyProtection="0"/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3" borderId="14" applyNumberFormat="0" applyAlignment="0" applyProtection="0">
      <alignment vertical="center"/>
    </xf>
    <xf numFmtId="0" fontId="35" fillId="53" borderId="14" applyNumberFormat="0" applyAlignment="0" applyProtection="0">
      <alignment vertical="center"/>
    </xf>
    <xf numFmtId="183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50" borderId="20" applyNumberFormat="0" applyAlignment="0" applyProtection="0">
      <alignment vertical="center"/>
    </xf>
    <xf numFmtId="0" fontId="44" fillId="50" borderId="20" applyNumberFormat="0" applyAlignment="0" applyProtection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/>
    <xf numFmtId="182" fontId="18" fillId="0" borderId="0"/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5" fillId="53" borderId="14" applyNumberFormat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50" borderId="20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/>
    <xf numFmtId="0" fontId="51" fillId="0" borderId="0">
      <alignment vertical="center"/>
    </xf>
    <xf numFmtId="0" fontId="26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52" fillId="0" borderId="0">
      <alignment vertical="center"/>
    </xf>
    <xf numFmtId="41" fontId="26" fillId="0" borderId="0" applyNumberFormat="0" applyFont="0" applyFill="0" applyBorder="0" applyAlignment="0" applyProtection="0"/>
    <xf numFmtId="0" fontId="1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0" fontId="18" fillId="0" borderId="0"/>
    <xf numFmtId="0" fontId="52" fillId="0" borderId="0">
      <alignment vertical="center"/>
    </xf>
    <xf numFmtId="178" fontId="18" fillId="0" borderId="0" applyFont="0" applyFill="0" applyBorder="0" applyAlignment="0" applyProtection="0"/>
    <xf numFmtId="0" fontId="6" fillId="0" borderId="0">
      <alignment vertical="center"/>
    </xf>
    <xf numFmtId="178" fontId="18" fillId="0" borderId="0" applyFont="0" applyFill="0" applyBorder="0" applyAlignment="0" applyProtection="0"/>
    <xf numFmtId="178" fontId="119" fillId="0" borderId="0"/>
    <xf numFmtId="178" fontId="18" fillId="0" borderId="0" applyFont="0" applyFill="0" applyBorder="0" applyAlignment="0" applyProtection="0"/>
    <xf numFmtId="0" fontId="18" fillId="0" borderId="0"/>
    <xf numFmtId="0" fontId="119" fillId="0" borderId="0"/>
    <xf numFmtId="0" fontId="6" fillId="0" borderId="0">
      <alignment vertical="center"/>
    </xf>
    <xf numFmtId="0" fontId="6" fillId="0" borderId="0">
      <alignment vertical="center"/>
    </xf>
    <xf numFmtId="0" fontId="133" fillId="66" borderId="0" applyNumberFormat="0" applyBorder="0" applyAlignment="0" applyProtection="0">
      <alignment vertical="center"/>
    </xf>
    <xf numFmtId="0" fontId="14" fillId="0" borderId="0">
      <alignment vertical="center"/>
    </xf>
    <xf numFmtId="0" fontId="119" fillId="0" borderId="0"/>
    <xf numFmtId="41" fontId="18" fillId="0" borderId="0" applyFont="0" applyFill="0" applyBorder="0" applyAlignment="0" applyProtection="0">
      <alignment vertical="center"/>
    </xf>
  </cellStyleXfs>
  <cellXfs count="69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Continuous"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Fill="1">
      <alignment vertical="center"/>
    </xf>
    <xf numFmtId="0" fontId="10" fillId="0" borderId="0" xfId="0" applyFont="1" applyFill="1" applyBorder="1" applyAlignment="1">
      <alignment horizontal="left" vertical="center"/>
    </xf>
    <xf numFmtId="0" fontId="13" fillId="0" borderId="0" xfId="0" applyFo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7" fontId="13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7" fontId="3" fillId="0" borderId="0" xfId="0" applyNumberFormat="1" applyFont="1" applyFill="1" applyBorder="1">
      <alignment vertical="center"/>
    </xf>
    <xf numFmtId="0" fontId="13" fillId="0" borderId="0" xfId="0" applyFont="1" applyBorder="1">
      <alignment vertical="center"/>
    </xf>
    <xf numFmtId="0" fontId="20" fillId="0" borderId="0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27" fillId="0" borderId="0" xfId="0" applyFont="1" applyAlignment="1">
      <alignment horizontal="left" vertical="center"/>
    </xf>
    <xf numFmtId="177" fontId="0" fillId="0" borderId="0" xfId="0" applyNumberFormat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>
      <alignment vertical="center"/>
    </xf>
    <xf numFmtId="0" fontId="58" fillId="0" borderId="0" xfId="0" applyFont="1" applyProtection="1">
      <alignment vertical="center"/>
    </xf>
    <xf numFmtId="0" fontId="59" fillId="0" borderId="0" xfId="0" applyFont="1" applyAlignment="1" applyProtection="1">
      <alignment vertical="center" wrapText="1"/>
    </xf>
    <xf numFmtId="0" fontId="58" fillId="0" borderId="0" xfId="0" applyFont="1" applyAlignment="1" applyProtection="1">
      <alignment vertical="center" wrapText="1"/>
    </xf>
    <xf numFmtId="0" fontId="57" fillId="0" borderId="0" xfId="0" applyFont="1" applyAlignment="1" applyProtection="1">
      <alignment vertical="center" wrapText="1"/>
    </xf>
    <xf numFmtId="0" fontId="57" fillId="0" borderId="0" xfId="0" applyFont="1" applyAlignment="1" applyProtection="1">
      <alignment horizontal="center" vertical="center"/>
    </xf>
    <xf numFmtId="0" fontId="59" fillId="0" borderId="0" xfId="0" applyFont="1" applyAlignment="1" applyProtection="1">
      <alignment horizontal="center" vertical="center"/>
    </xf>
    <xf numFmtId="0" fontId="54" fillId="0" borderId="0" xfId="0" applyFont="1" applyAlignment="1" applyProtection="1">
      <alignment horizontal="center" vertical="center"/>
    </xf>
    <xf numFmtId="0" fontId="54" fillId="0" borderId="0" xfId="0" applyFont="1" applyProtection="1">
      <alignment vertical="center"/>
    </xf>
    <xf numFmtId="0" fontId="54" fillId="0" borderId="0" xfId="0" applyFont="1" applyAlignment="1" applyProtection="1">
      <alignment horizontal="left" vertical="center"/>
    </xf>
    <xf numFmtId="0" fontId="53" fillId="0" borderId="0" xfId="0" applyFont="1" applyProtection="1">
      <alignment vertical="center"/>
    </xf>
    <xf numFmtId="0" fontId="54" fillId="0" borderId="0" xfId="0" applyFont="1" applyAlignment="1" applyProtection="1">
      <alignment vertical="center" wrapText="1"/>
    </xf>
    <xf numFmtId="0" fontId="56" fillId="0" borderId="0" xfId="0" applyFont="1" applyAlignment="1" applyProtection="1">
      <alignment vertical="center" wrapText="1"/>
    </xf>
    <xf numFmtId="0" fontId="56" fillId="0" borderId="0" xfId="0" applyFont="1" applyAlignment="1" applyProtection="1">
      <alignment horizontal="center" vertical="center"/>
    </xf>
    <xf numFmtId="0" fontId="60" fillId="0" borderId="6" xfId="0" applyFont="1" applyBorder="1" applyProtection="1">
      <alignment vertical="center"/>
    </xf>
    <xf numFmtId="0" fontId="60" fillId="0" borderId="0" xfId="0" applyFont="1" applyProtection="1">
      <alignment vertical="center"/>
    </xf>
    <xf numFmtId="0" fontId="60" fillId="0" borderId="6" xfId="0" applyFont="1" applyBorder="1">
      <alignment vertical="center"/>
    </xf>
    <xf numFmtId="0" fontId="60" fillId="0" borderId="0" xfId="0" applyFont="1">
      <alignment vertical="center"/>
    </xf>
    <xf numFmtId="0" fontId="54" fillId="0" borderId="0" xfId="0" applyFont="1">
      <alignment vertical="center"/>
    </xf>
    <xf numFmtId="0" fontId="2" fillId="0" borderId="0" xfId="0" applyFont="1" applyAlignment="1" applyProtection="1">
      <alignment vertical="center" shrinkToFit="1"/>
    </xf>
    <xf numFmtId="0" fontId="60" fillId="0" borderId="0" xfId="0" applyFont="1" applyAlignment="1" applyProtection="1">
      <alignment vertical="center" shrinkToFit="1"/>
    </xf>
    <xf numFmtId="0" fontId="8" fillId="0" borderId="0" xfId="0" applyFont="1" applyAlignment="1" applyProtection="1">
      <alignment vertical="center" shrinkToFit="1"/>
    </xf>
    <xf numFmtId="0" fontId="60" fillId="0" borderId="0" xfId="0" applyFont="1" applyFill="1" applyProtection="1">
      <alignment vertical="center"/>
    </xf>
    <xf numFmtId="0" fontId="60" fillId="0" borderId="0" xfId="0" applyFont="1" applyAlignment="1" applyProtection="1">
      <alignment horizontal="center" vertical="center"/>
    </xf>
    <xf numFmtId="0" fontId="60" fillId="0" borderId="0" xfId="0" applyFont="1" applyAlignment="1" applyProtection="1">
      <alignment horizontal="left" vertical="center"/>
    </xf>
    <xf numFmtId="0" fontId="60" fillId="0" borderId="0" xfId="0" applyFont="1" applyAlignment="1" applyProtection="1">
      <alignment vertical="center" wrapText="1"/>
    </xf>
    <xf numFmtId="0" fontId="62" fillId="0" borderId="0" xfId="0" applyFont="1" applyAlignment="1" applyProtection="1">
      <alignment vertical="center" wrapText="1"/>
    </xf>
    <xf numFmtId="0" fontId="62" fillId="0" borderId="0" xfId="0" applyFont="1" applyAlignment="1" applyProtection="1">
      <alignment horizontal="center" vertical="center"/>
    </xf>
    <xf numFmtId="0" fontId="54" fillId="0" borderId="0" xfId="0" applyFont="1" applyAlignment="1" applyProtection="1">
      <alignment vertical="center" shrinkToFit="1"/>
    </xf>
    <xf numFmtId="0" fontId="9" fillId="0" borderId="0" xfId="0" applyFont="1" applyAlignment="1" applyProtection="1">
      <alignment vertical="center" wrapText="1"/>
    </xf>
    <xf numFmtId="0" fontId="63" fillId="0" borderId="0" xfId="0" applyFont="1" applyAlignment="1" applyProtection="1">
      <alignment vertical="center" shrinkToFit="1"/>
    </xf>
    <xf numFmtId="0" fontId="54" fillId="0" borderId="0" xfId="0" applyFont="1" applyFill="1" applyProtection="1">
      <alignment vertical="center"/>
    </xf>
    <xf numFmtId="0" fontId="55" fillId="0" borderId="0" xfId="0" applyFont="1" applyProtection="1">
      <alignment vertical="center"/>
    </xf>
    <xf numFmtId="0" fontId="60" fillId="0" borderId="0" xfId="0" applyFont="1" applyAlignment="1" applyProtection="1">
      <alignment horizontal="right" vertical="center"/>
    </xf>
    <xf numFmtId="0" fontId="66" fillId="0" borderId="0" xfId="0" applyFont="1">
      <alignment vertical="center"/>
    </xf>
    <xf numFmtId="0" fontId="67" fillId="0" borderId="0" xfId="0" applyFont="1">
      <alignment vertical="center"/>
    </xf>
    <xf numFmtId="0" fontId="67" fillId="0" borderId="0" xfId="0" applyFont="1" applyProtection="1">
      <alignment vertical="center"/>
    </xf>
    <xf numFmtId="0" fontId="67" fillId="0" borderId="0" xfId="0" applyFont="1" applyBorder="1" applyAlignment="1">
      <alignment horizontal="center" vertical="center"/>
    </xf>
    <xf numFmtId="0" fontId="69" fillId="0" borderId="0" xfId="0" applyFont="1" applyBorder="1" applyAlignment="1">
      <alignment horizontal="center" vertical="center"/>
    </xf>
    <xf numFmtId="0" fontId="54" fillId="0" borderId="10" xfId="0" applyFont="1" applyBorder="1" applyAlignment="1">
      <alignment horizontal="center" vertical="center"/>
    </xf>
    <xf numFmtId="0" fontId="60" fillId="55" borderId="24" xfId="0" applyFont="1" applyFill="1" applyBorder="1" applyAlignment="1" applyProtection="1">
      <alignment horizontal="center" vertical="center"/>
    </xf>
    <xf numFmtId="0" fontId="55" fillId="55" borderId="24" xfId="0" applyFont="1" applyFill="1" applyBorder="1" applyProtection="1">
      <alignment vertical="center"/>
    </xf>
    <xf numFmtId="0" fontId="60" fillId="55" borderId="24" xfId="0" applyFont="1" applyFill="1" applyBorder="1" applyAlignment="1" applyProtection="1">
      <alignment horizontal="center" vertical="center" shrinkToFit="1"/>
    </xf>
    <xf numFmtId="0" fontId="56" fillId="55" borderId="24" xfId="0" applyFont="1" applyFill="1" applyBorder="1" applyAlignment="1" applyProtection="1">
      <alignment horizontal="center" vertical="center" wrapText="1"/>
    </xf>
    <xf numFmtId="0" fontId="60" fillId="0" borderId="0" xfId="0" applyFont="1" applyFill="1">
      <alignment vertical="center"/>
    </xf>
    <xf numFmtId="0" fontId="60" fillId="55" borderId="32" xfId="0" applyFont="1" applyFill="1" applyBorder="1" applyAlignment="1" applyProtection="1">
      <alignment horizontal="center" vertical="center"/>
    </xf>
    <xf numFmtId="0" fontId="55" fillId="55" borderId="32" xfId="0" applyFont="1" applyFill="1" applyBorder="1" applyProtection="1">
      <alignment vertical="center"/>
    </xf>
    <xf numFmtId="0" fontId="60" fillId="55" borderId="32" xfId="0" applyFont="1" applyFill="1" applyBorder="1" applyAlignment="1" applyProtection="1">
      <alignment horizontal="center" vertical="center" shrinkToFit="1"/>
    </xf>
    <xf numFmtId="0" fontId="60" fillId="0" borderId="0" xfId="0" applyFont="1" applyFill="1" applyBorder="1">
      <alignment vertical="center"/>
    </xf>
    <xf numFmtId="0" fontId="54" fillId="0" borderId="0" xfId="0" applyFont="1" applyFill="1">
      <alignment vertical="center"/>
    </xf>
    <xf numFmtId="0" fontId="13" fillId="0" borderId="0" xfId="0" applyFont="1" applyFill="1">
      <alignment vertical="center"/>
    </xf>
    <xf numFmtId="41" fontId="13" fillId="0" borderId="0" xfId="1" applyFont="1">
      <alignment vertical="center"/>
    </xf>
    <xf numFmtId="0" fontId="73" fillId="0" borderId="1" xfId="206" applyNumberFormat="1" applyFont="1" applyFill="1" applyBorder="1" applyAlignment="1">
      <alignment vertical="center"/>
    </xf>
    <xf numFmtId="0" fontId="73" fillId="0" borderId="1" xfId="206" applyNumberFormat="1" applyFont="1" applyFill="1" applyBorder="1" applyAlignment="1">
      <alignment horizontal="left" vertical="center"/>
    </xf>
    <xf numFmtId="0" fontId="74" fillId="56" borderId="25" xfId="0" applyFont="1" applyFill="1" applyBorder="1" applyAlignment="1">
      <alignment horizontal="center" vertical="center"/>
    </xf>
    <xf numFmtId="0" fontId="74" fillId="56" borderId="23" xfId="0" applyFont="1" applyFill="1" applyBorder="1" applyAlignment="1">
      <alignment horizontal="center" vertical="center"/>
    </xf>
    <xf numFmtId="0" fontId="74" fillId="57" borderId="24" xfId="0" applyFont="1" applyFill="1" applyBorder="1" applyAlignment="1">
      <alignment horizontal="center" vertical="center"/>
    </xf>
    <xf numFmtId="177" fontId="74" fillId="57" borderId="24" xfId="0" applyNumberFormat="1" applyFont="1" applyFill="1" applyBorder="1">
      <alignment vertical="center"/>
    </xf>
    <xf numFmtId="177" fontId="74" fillId="57" borderId="25" xfId="0" applyNumberFormat="1" applyFont="1" applyFill="1" applyBorder="1">
      <alignment vertical="center"/>
    </xf>
    <xf numFmtId="177" fontId="74" fillId="57" borderId="33" xfId="0" applyNumberFormat="1" applyFont="1" applyFill="1" applyBorder="1">
      <alignment vertical="center"/>
    </xf>
    <xf numFmtId="177" fontId="74" fillId="57" borderId="27" xfId="0" applyNumberFormat="1" applyFont="1" applyFill="1" applyBorder="1">
      <alignment vertical="center"/>
    </xf>
    <xf numFmtId="177" fontId="74" fillId="58" borderId="32" xfId="0" applyNumberFormat="1" applyFont="1" applyFill="1" applyBorder="1">
      <alignment vertical="center"/>
    </xf>
    <xf numFmtId="177" fontId="74" fillId="58" borderId="37" xfId="0" applyNumberFormat="1" applyFont="1" applyFill="1" applyBorder="1">
      <alignment vertical="center"/>
    </xf>
    <xf numFmtId="177" fontId="74" fillId="58" borderId="31" xfId="0" applyNumberFormat="1" applyFont="1" applyFill="1" applyBorder="1">
      <alignment vertical="center"/>
    </xf>
    <xf numFmtId="0" fontId="74" fillId="0" borderId="4" xfId="0" applyFont="1" applyBorder="1" applyAlignment="1">
      <alignment horizontal="center" vertical="center"/>
    </xf>
    <xf numFmtId="177" fontId="74" fillId="58" borderId="4" xfId="0" applyNumberFormat="1" applyFont="1" applyFill="1" applyBorder="1">
      <alignment vertical="center"/>
    </xf>
    <xf numFmtId="177" fontId="74" fillId="58" borderId="35" xfId="0" applyNumberFormat="1" applyFont="1" applyFill="1" applyBorder="1">
      <alignment vertical="center"/>
    </xf>
    <xf numFmtId="177" fontId="74" fillId="58" borderId="22" xfId="0" applyNumberFormat="1" applyFont="1" applyFill="1" applyBorder="1">
      <alignment vertical="center"/>
    </xf>
    <xf numFmtId="177" fontId="74" fillId="58" borderId="6" xfId="0" applyNumberFormat="1" applyFont="1" applyFill="1" applyBorder="1">
      <alignment vertical="center"/>
    </xf>
    <xf numFmtId="0" fontId="74" fillId="0" borderId="5" xfId="0" applyFont="1" applyBorder="1" applyAlignment="1">
      <alignment horizontal="center" vertical="center"/>
    </xf>
    <xf numFmtId="177" fontId="74" fillId="58" borderId="5" xfId="0" applyNumberFormat="1" applyFont="1" applyFill="1" applyBorder="1">
      <alignment vertical="center"/>
    </xf>
    <xf numFmtId="177" fontId="74" fillId="58" borderId="7" xfId="0" applyNumberFormat="1" applyFont="1" applyFill="1" applyBorder="1">
      <alignment vertical="center"/>
    </xf>
    <xf numFmtId="0" fontId="74" fillId="0" borderId="30" xfId="0" applyFont="1" applyBorder="1" applyAlignment="1">
      <alignment horizontal="center" vertical="center"/>
    </xf>
    <xf numFmtId="177" fontId="74" fillId="58" borderId="30" xfId="0" applyNumberFormat="1" applyFont="1" applyFill="1" applyBorder="1">
      <alignment vertical="center"/>
    </xf>
    <xf numFmtId="177" fontId="74" fillId="58" borderId="9" xfId="0" applyNumberFormat="1" applyFont="1" applyFill="1" applyBorder="1">
      <alignment vertical="center"/>
    </xf>
    <xf numFmtId="0" fontId="75" fillId="0" borderId="0" xfId="0" applyFont="1" applyAlignment="1">
      <alignment horizontal="left" vertical="center"/>
    </xf>
    <xf numFmtId="0" fontId="74" fillId="56" borderId="24" xfId="0" applyFont="1" applyFill="1" applyBorder="1" applyAlignment="1">
      <alignment horizontal="center" vertical="center"/>
    </xf>
    <xf numFmtId="0" fontId="74" fillId="56" borderId="27" xfId="0" applyFont="1" applyFill="1" applyBorder="1" applyAlignment="1">
      <alignment horizontal="center" vertical="center"/>
    </xf>
    <xf numFmtId="177" fontId="13" fillId="0" borderId="24" xfId="0" applyNumberFormat="1" applyFont="1" applyBorder="1">
      <alignment vertical="center"/>
    </xf>
    <xf numFmtId="0" fontId="13" fillId="0" borderId="24" xfId="0" applyFont="1" applyFill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177" fontId="3" fillId="4" borderId="24" xfId="0" applyNumberFormat="1" applyFont="1" applyFill="1" applyBorder="1">
      <alignment vertical="center"/>
    </xf>
    <xf numFmtId="0" fontId="3" fillId="4" borderId="24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3" fillId="4" borderId="24" xfId="0" applyFont="1" applyFill="1" applyBorder="1">
      <alignment vertical="center"/>
    </xf>
    <xf numFmtId="177" fontId="13" fillId="4" borderId="24" xfId="0" applyNumberFormat="1" applyFont="1" applyFill="1" applyBorder="1">
      <alignment vertical="center"/>
    </xf>
    <xf numFmtId="0" fontId="76" fillId="58" borderId="24" xfId="0" applyFont="1" applyFill="1" applyBorder="1" applyAlignment="1">
      <alignment horizontal="center" vertical="center" wrapText="1"/>
    </xf>
    <xf numFmtId="0" fontId="78" fillId="58" borderId="24" xfId="0" applyFont="1" applyFill="1" applyBorder="1" applyAlignment="1">
      <alignment horizontal="center" vertical="center" wrapText="1" shrinkToFit="1"/>
    </xf>
    <xf numFmtId="0" fontId="2" fillId="10" borderId="0" xfId="0" applyFont="1" applyFill="1">
      <alignment vertical="center"/>
    </xf>
    <xf numFmtId="0" fontId="78" fillId="58" borderId="24" xfId="0" applyFont="1" applyFill="1" applyBorder="1" applyAlignment="1">
      <alignment horizontal="center" vertical="center" wrapText="1"/>
    </xf>
    <xf numFmtId="0" fontId="78" fillId="0" borderId="0" xfId="0" applyFont="1" applyFill="1" applyProtection="1">
      <alignment vertical="center"/>
    </xf>
    <xf numFmtId="0" fontId="78" fillId="0" borderId="0" xfId="0" applyFont="1">
      <alignment vertical="center"/>
    </xf>
    <xf numFmtId="0" fontId="78" fillId="0" borderId="0" xfId="0" applyFont="1" applyProtection="1">
      <alignment vertical="center"/>
    </xf>
    <xf numFmtId="0" fontId="81" fillId="55" borderId="24" xfId="0" applyFont="1" applyFill="1" applyBorder="1" applyAlignment="1" applyProtection="1">
      <alignment horizontal="center" vertical="center"/>
    </xf>
    <xf numFmtId="0" fontId="84" fillId="55" borderId="24" xfId="0" applyFont="1" applyFill="1" applyBorder="1" applyProtection="1">
      <alignment vertical="center"/>
    </xf>
    <xf numFmtId="0" fontId="81" fillId="55" borderId="24" xfId="0" applyFont="1" applyFill="1" applyBorder="1" applyAlignment="1" applyProtection="1">
      <alignment horizontal="center" vertical="center" shrinkToFit="1"/>
    </xf>
    <xf numFmtId="0" fontId="82" fillId="55" borderId="24" xfId="0" applyFont="1" applyFill="1" applyBorder="1" applyAlignment="1" applyProtection="1">
      <alignment horizontal="center" vertical="center" wrapText="1"/>
    </xf>
    <xf numFmtId="0" fontId="83" fillId="55" borderId="24" xfId="0" applyFont="1" applyFill="1" applyBorder="1" applyAlignment="1" applyProtection="1">
      <alignment horizontal="left" vertical="center" wrapText="1"/>
    </xf>
    <xf numFmtId="0" fontId="81" fillId="55" borderId="24" xfId="0" applyFont="1" applyFill="1" applyBorder="1" applyAlignment="1" applyProtection="1">
      <alignment horizontal="left" vertical="center" wrapText="1"/>
    </xf>
    <xf numFmtId="0" fontId="81" fillId="55" borderId="24" xfId="0" applyFont="1" applyFill="1" applyBorder="1" applyAlignment="1" applyProtection="1">
      <alignment horizontal="center" vertical="center" wrapText="1"/>
    </xf>
    <xf numFmtId="0" fontId="81" fillId="55" borderId="24" xfId="0" applyFont="1" applyFill="1" applyBorder="1" applyAlignment="1" applyProtection="1">
      <alignment vertical="center" wrapText="1"/>
    </xf>
    <xf numFmtId="0" fontId="79" fillId="0" borderId="24" xfId="0" applyFont="1" applyFill="1" applyBorder="1" applyAlignment="1" applyProtection="1">
      <alignment horizontal="center" vertical="center" shrinkToFit="1"/>
    </xf>
    <xf numFmtId="176" fontId="79" fillId="0" borderId="24" xfId="1" applyNumberFormat="1" applyFont="1" applyFill="1" applyBorder="1" applyAlignment="1" applyProtection="1">
      <alignment horizontal="right" vertical="center"/>
    </xf>
    <xf numFmtId="0" fontId="77" fillId="0" borderId="24" xfId="0" applyFont="1" applyBorder="1" applyAlignment="1" applyProtection="1">
      <alignment horizontal="center" vertical="center" shrinkToFit="1"/>
    </xf>
    <xf numFmtId="176" fontId="77" fillId="0" borderId="24" xfId="1" applyNumberFormat="1" applyFont="1" applyFill="1" applyBorder="1" applyAlignment="1" applyProtection="1">
      <alignment horizontal="right" vertical="center"/>
    </xf>
    <xf numFmtId="0" fontId="77" fillId="0" borderId="24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81" fillId="55" borderId="24" xfId="0" applyFont="1" applyFill="1" applyBorder="1" applyAlignment="1">
      <alignment horizontal="center" vertical="center" wrapText="1"/>
    </xf>
    <xf numFmtId="0" fontId="81" fillId="55" borderId="24" xfId="0" applyFont="1" applyFill="1" applyBorder="1" applyAlignment="1">
      <alignment vertical="center" wrapText="1"/>
    </xf>
    <xf numFmtId="0" fontId="23" fillId="0" borderId="0" xfId="0" applyFont="1" applyAlignment="1" applyProtection="1">
      <alignment horizontal="center" vertical="center"/>
    </xf>
    <xf numFmtId="0" fontId="23" fillId="0" borderId="0" xfId="0" applyFont="1" applyProtection="1">
      <alignment vertical="center"/>
    </xf>
    <xf numFmtId="0" fontId="87" fillId="0" borderId="0" xfId="0" applyFont="1" applyProtection="1">
      <alignment vertical="center"/>
    </xf>
    <xf numFmtId="0" fontId="73" fillId="0" borderId="47" xfId="350" applyNumberFormat="1" applyFont="1" applyFill="1" applyBorder="1" applyAlignment="1">
      <alignment horizontal="left" vertical="center"/>
    </xf>
    <xf numFmtId="0" fontId="73" fillId="0" borderId="48" xfId="350" applyNumberFormat="1" applyFont="1" applyFill="1" applyBorder="1" applyAlignment="1">
      <alignment horizontal="left" vertical="center"/>
    </xf>
    <xf numFmtId="0" fontId="73" fillId="0" borderId="49" xfId="350" applyNumberFormat="1" applyFont="1" applyFill="1" applyBorder="1" applyAlignment="1">
      <alignment horizontal="left" vertical="center"/>
    </xf>
    <xf numFmtId="0" fontId="73" fillId="0" borderId="49" xfId="206" applyNumberFormat="1" applyFont="1" applyFill="1" applyBorder="1" applyAlignment="1">
      <alignment horizontal="left" vertical="center"/>
    </xf>
    <xf numFmtId="0" fontId="73" fillId="0" borderId="48" xfId="206" applyNumberFormat="1" applyFont="1" applyFill="1" applyBorder="1" applyAlignment="1">
      <alignment horizontal="left" vertical="center"/>
    </xf>
    <xf numFmtId="0" fontId="73" fillId="0" borderId="47" xfId="206" applyNumberFormat="1" applyFont="1" applyFill="1" applyBorder="1" applyAlignment="1">
      <alignment horizontal="left" vertical="center"/>
    </xf>
    <xf numFmtId="0" fontId="73" fillId="0" borderId="52" xfId="206" applyNumberFormat="1" applyFont="1" applyFill="1" applyBorder="1" applyAlignment="1">
      <alignment vertical="center"/>
    </xf>
    <xf numFmtId="0" fontId="73" fillId="0" borderId="54" xfId="206" applyNumberFormat="1" applyFont="1" applyFill="1" applyBorder="1" applyAlignment="1">
      <alignment vertical="center"/>
    </xf>
    <xf numFmtId="0" fontId="73" fillId="0" borderId="53" xfId="206" applyNumberFormat="1" applyFont="1" applyFill="1" applyBorder="1" applyAlignment="1">
      <alignment horizontal="left" vertical="center"/>
    </xf>
    <xf numFmtId="0" fontId="73" fillId="0" borderId="56" xfId="206" applyNumberFormat="1" applyFont="1" applyFill="1" applyBorder="1" applyAlignment="1">
      <alignment vertical="center"/>
    </xf>
    <xf numFmtId="0" fontId="73" fillId="0" borderId="43" xfId="206" applyNumberFormat="1" applyFont="1" applyFill="1" applyBorder="1" applyAlignment="1">
      <alignment vertical="center"/>
    </xf>
    <xf numFmtId="0" fontId="78" fillId="3" borderId="24" xfId="0" applyFont="1" applyFill="1" applyBorder="1" applyAlignment="1">
      <alignment horizontal="center" vertical="center" wrapText="1"/>
    </xf>
    <xf numFmtId="0" fontId="91" fillId="61" borderId="61" xfId="0" applyFont="1" applyFill="1" applyBorder="1" applyAlignment="1">
      <alignment horizontal="left" vertical="center" wrapText="1"/>
    </xf>
    <xf numFmtId="0" fontId="90" fillId="62" borderId="61" xfId="0" applyFont="1" applyFill="1" applyBorder="1" applyAlignment="1">
      <alignment horizontal="left" vertical="center" wrapText="1"/>
    </xf>
    <xf numFmtId="0" fontId="90" fillId="63" borderId="61" xfId="0" applyFont="1" applyFill="1" applyBorder="1" applyAlignment="1">
      <alignment horizontal="left" vertical="center" wrapText="1"/>
    </xf>
    <xf numFmtId="0" fontId="90" fillId="0" borderId="61" xfId="0" applyFont="1" applyBorder="1" applyAlignment="1">
      <alignment horizontal="left" vertical="center" wrapText="1"/>
    </xf>
    <xf numFmtId="0" fontId="92" fillId="0" borderId="61" xfId="0" applyFont="1" applyBorder="1" applyAlignment="1">
      <alignment horizontal="left" vertical="center" wrapText="1"/>
    </xf>
    <xf numFmtId="0" fontId="90" fillId="0" borderId="63" xfId="0" applyFont="1" applyBorder="1" applyAlignment="1">
      <alignment horizontal="left" vertical="center" wrapText="1"/>
    </xf>
    <xf numFmtId="0" fontId="55" fillId="55" borderId="24" xfId="0" applyFont="1" applyFill="1" applyBorder="1" applyAlignment="1" applyProtection="1">
      <alignment horizontal="center" vertical="center"/>
    </xf>
    <xf numFmtId="0" fontId="55" fillId="55" borderId="32" xfId="0" applyFont="1" applyFill="1" applyBorder="1" applyAlignment="1" applyProtection="1">
      <alignment horizontal="center" vertical="center"/>
    </xf>
    <xf numFmtId="0" fontId="78" fillId="64" borderId="24" xfId="0" applyFont="1" applyFill="1" applyBorder="1" applyAlignment="1">
      <alignment horizontal="center" vertical="center" wrapText="1" shrinkToFit="1"/>
    </xf>
    <xf numFmtId="0" fontId="80" fillId="64" borderId="24" xfId="0" applyFont="1" applyFill="1" applyBorder="1" applyAlignment="1">
      <alignment horizontal="center" vertical="center" wrapText="1"/>
    </xf>
    <xf numFmtId="0" fontId="80" fillId="64" borderId="24" xfId="0" applyFont="1" applyFill="1" applyBorder="1" applyAlignment="1">
      <alignment horizontal="left" vertical="center" wrapText="1"/>
    </xf>
    <xf numFmtId="0" fontId="54" fillId="64" borderId="24" xfId="0" applyFont="1" applyFill="1" applyBorder="1" applyAlignment="1">
      <alignment vertical="center" wrapText="1" shrinkToFit="1"/>
    </xf>
    <xf numFmtId="0" fontId="78" fillId="64" borderId="24" xfId="0" applyFont="1" applyFill="1" applyBorder="1" applyAlignment="1">
      <alignment horizontal="center" vertical="center" wrapText="1"/>
    </xf>
    <xf numFmtId="0" fontId="78" fillId="64" borderId="24" xfId="0" applyFont="1" applyFill="1" applyBorder="1" applyAlignment="1">
      <alignment horizontal="left" vertical="center" wrapText="1"/>
    </xf>
    <xf numFmtId="0" fontId="76" fillId="64" borderId="24" xfId="0" applyFont="1" applyFill="1" applyBorder="1" applyAlignment="1">
      <alignment horizontal="center" vertical="center" wrapText="1" shrinkToFit="1"/>
    </xf>
    <xf numFmtId="0" fontId="54" fillId="64" borderId="24" xfId="0" applyFont="1" applyFill="1" applyBorder="1" applyAlignment="1">
      <alignment horizontal="left" vertical="center" wrapText="1"/>
    </xf>
    <xf numFmtId="0" fontId="54" fillId="64" borderId="24" xfId="0" applyFont="1" applyFill="1" applyBorder="1" applyAlignment="1">
      <alignment horizontal="center" vertical="center" wrapText="1"/>
    </xf>
    <xf numFmtId="0" fontId="54" fillId="3" borderId="24" xfId="0" applyFont="1" applyFill="1" applyBorder="1" applyAlignment="1">
      <alignment horizontal="left" vertical="center" wrapText="1"/>
    </xf>
    <xf numFmtId="0" fontId="54" fillId="3" borderId="24" xfId="0" applyFont="1" applyFill="1" applyBorder="1" applyAlignment="1">
      <alignment vertical="center" wrapText="1"/>
    </xf>
    <xf numFmtId="176" fontId="76" fillId="60" borderId="24" xfId="1" applyNumberFormat="1" applyFont="1" applyFill="1" applyBorder="1" applyAlignment="1" applyProtection="1">
      <alignment horizontal="right" vertical="center" wrapText="1"/>
    </xf>
    <xf numFmtId="0" fontId="78" fillId="64" borderId="24" xfId="0" applyFont="1" applyFill="1" applyBorder="1" applyAlignment="1">
      <alignment horizontal="center" vertical="center" shrinkToFit="1"/>
    </xf>
    <xf numFmtId="0" fontId="78" fillId="0" borderId="6" xfId="0" applyFont="1" applyBorder="1">
      <alignment vertical="center"/>
    </xf>
    <xf numFmtId="0" fontId="78" fillId="0" borderId="0" xfId="0" applyFont="1" applyBorder="1">
      <alignment vertical="center"/>
    </xf>
    <xf numFmtId="176" fontId="78" fillId="60" borderId="24" xfId="1" applyNumberFormat="1" applyFont="1" applyFill="1" applyBorder="1" applyAlignment="1">
      <alignment horizontal="right" vertical="center"/>
    </xf>
    <xf numFmtId="0" fontId="78" fillId="64" borderId="24" xfId="0" applyFont="1" applyFill="1" applyBorder="1" applyAlignment="1">
      <alignment vertical="center" wrapText="1" shrinkToFit="1"/>
    </xf>
    <xf numFmtId="0" fontId="78" fillId="64" borderId="24" xfId="0" applyFont="1" applyFill="1" applyBorder="1" applyAlignment="1">
      <alignment horizontal="center" vertical="center"/>
    </xf>
    <xf numFmtId="0" fontId="78" fillId="3" borderId="24" xfId="0" applyFont="1" applyFill="1" applyBorder="1" applyAlignment="1">
      <alignment horizontal="center" vertical="center"/>
    </xf>
    <xf numFmtId="0" fontId="76" fillId="64" borderId="24" xfId="0" applyFont="1" applyFill="1" applyBorder="1" applyAlignment="1">
      <alignment horizontal="left" vertical="center" wrapText="1"/>
    </xf>
    <xf numFmtId="0" fontId="78" fillId="3" borderId="24" xfId="0" applyFont="1" applyFill="1" applyBorder="1" applyAlignment="1">
      <alignment vertical="center" wrapText="1"/>
    </xf>
    <xf numFmtId="0" fontId="3" fillId="2" borderId="58" xfId="0" applyFont="1" applyFill="1" applyBorder="1" applyAlignment="1">
      <alignment vertical="center"/>
    </xf>
    <xf numFmtId="0" fontId="3" fillId="2" borderId="59" xfId="0" applyFont="1" applyFill="1" applyBorder="1" applyAlignment="1">
      <alignment vertical="center"/>
    </xf>
    <xf numFmtId="0" fontId="0" fillId="0" borderId="60" xfId="0" applyBorder="1" applyAlignment="1">
      <alignment vertical="center"/>
    </xf>
    <xf numFmtId="0" fontId="0" fillId="0" borderId="62" xfId="0" applyBorder="1" applyAlignment="1">
      <alignment vertical="center"/>
    </xf>
    <xf numFmtId="0" fontId="93" fillId="0" borderId="0" xfId="0" applyFont="1">
      <alignment vertical="center"/>
    </xf>
    <xf numFmtId="0" fontId="65" fillId="55" borderId="24" xfId="0" applyFont="1" applyFill="1" applyBorder="1" applyAlignment="1">
      <alignment horizontal="center" vertical="center" wrapText="1" shrinkToFit="1"/>
    </xf>
    <xf numFmtId="0" fontId="2" fillId="2" borderId="51" xfId="0" applyFont="1" applyFill="1" applyBorder="1">
      <alignment vertical="center"/>
    </xf>
    <xf numFmtId="0" fontId="2" fillId="2" borderId="44" xfId="0" applyFont="1" applyFill="1" applyBorder="1">
      <alignment vertical="center"/>
    </xf>
    <xf numFmtId="0" fontId="2" fillId="2" borderId="64" xfId="0" applyFont="1" applyFill="1" applyBorder="1">
      <alignment vertical="center"/>
    </xf>
    <xf numFmtId="0" fontId="73" fillId="0" borderId="66" xfId="350" applyNumberFormat="1" applyFont="1" applyFill="1" applyBorder="1" applyAlignment="1">
      <alignment horizontal="left" vertical="center"/>
    </xf>
    <xf numFmtId="0" fontId="73" fillId="0" borderId="47" xfId="363" applyFont="1" applyFill="1" applyBorder="1" applyAlignment="1">
      <alignment horizontal="center" vertical="center"/>
    </xf>
    <xf numFmtId="49" fontId="73" fillId="0" borderId="56" xfId="363" applyNumberFormat="1" applyFont="1" applyFill="1" applyBorder="1" applyAlignment="1">
      <alignment horizontal="justify" vertical="center" wrapText="1"/>
    </xf>
    <xf numFmtId="49" fontId="73" fillId="0" borderId="52" xfId="363" applyNumberFormat="1" applyFont="1" applyFill="1" applyBorder="1" applyAlignment="1">
      <alignment horizontal="justify" vertical="center" wrapText="1"/>
    </xf>
    <xf numFmtId="0" fontId="73" fillId="0" borderId="49" xfId="363" applyFont="1" applyFill="1" applyBorder="1" applyAlignment="1">
      <alignment horizontal="center" vertical="center"/>
    </xf>
    <xf numFmtId="49" fontId="73" fillId="0" borderId="1" xfId="363" applyNumberFormat="1" applyFont="1" applyFill="1" applyBorder="1" applyAlignment="1">
      <alignment horizontal="justify" vertical="center" wrapText="1"/>
    </xf>
    <xf numFmtId="49" fontId="73" fillId="0" borderId="54" xfId="363" applyNumberFormat="1" applyFont="1" applyFill="1" applyBorder="1" applyAlignment="1">
      <alignment horizontal="justify" vertical="center" wrapText="1"/>
    </xf>
    <xf numFmtId="0" fontId="73" fillId="0" borderId="48" xfId="363" applyFont="1" applyFill="1" applyBorder="1" applyAlignment="1">
      <alignment horizontal="center" vertical="center"/>
    </xf>
    <xf numFmtId="49" fontId="73" fillId="0" borderId="43" xfId="363" applyNumberFormat="1" applyFont="1" applyFill="1" applyBorder="1" applyAlignment="1">
      <alignment horizontal="justify" vertical="center" wrapText="1"/>
    </xf>
    <xf numFmtId="49" fontId="73" fillId="0" borderId="53" xfId="363" applyNumberFormat="1" applyFont="1" applyFill="1" applyBorder="1" applyAlignment="1">
      <alignment horizontal="justify" vertical="center" wrapText="1"/>
    </xf>
    <xf numFmtId="0" fontId="73" fillId="10" borderId="49" xfId="363" applyFont="1" applyFill="1" applyBorder="1" applyAlignment="1">
      <alignment horizontal="center" vertical="center"/>
    </xf>
    <xf numFmtId="49" fontId="73" fillId="10" borderId="1" xfId="363" applyNumberFormat="1" applyFont="1" applyFill="1" applyBorder="1" applyAlignment="1">
      <alignment horizontal="justify" vertical="center" wrapText="1"/>
    </xf>
    <xf numFmtId="49" fontId="73" fillId="10" borderId="54" xfId="363" applyNumberFormat="1" applyFont="1" applyFill="1" applyBorder="1" applyAlignment="1">
      <alignment horizontal="justify" vertical="center" wrapText="1"/>
    </xf>
    <xf numFmtId="0" fontId="73" fillId="0" borderId="68" xfId="363" applyFont="1" applyFill="1" applyBorder="1" applyAlignment="1">
      <alignment horizontal="center" vertical="center"/>
    </xf>
    <xf numFmtId="49" fontId="73" fillId="0" borderId="39" xfId="363" applyNumberFormat="1" applyFont="1" applyFill="1" applyBorder="1" applyAlignment="1">
      <alignment horizontal="justify" vertical="center" wrapText="1"/>
    </xf>
    <xf numFmtId="49" fontId="73" fillId="0" borderId="69" xfId="363" applyNumberFormat="1" applyFont="1" applyFill="1" applyBorder="1" applyAlignment="1">
      <alignment horizontal="justify" vertical="center" wrapText="1"/>
    </xf>
    <xf numFmtId="0" fontId="73" fillId="0" borderId="50" xfId="363" applyFont="1" applyFill="1" applyBorder="1" applyAlignment="1">
      <alignment horizontal="center" vertical="center"/>
    </xf>
    <xf numFmtId="49" fontId="73" fillId="0" borderId="57" xfId="363" applyNumberFormat="1" applyFont="1" applyFill="1" applyBorder="1" applyAlignment="1">
      <alignment horizontal="justify" vertical="center" wrapText="1"/>
    </xf>
    <xf numFmtId="49" fontId="73" fillId="0" borderId="55" xfId="363" applyNumberFormat="1" applyFont="1" applyFill="1" applyBorder="1" applyAlignment="1">
      <alignment horizontal="justify" vertical="center" wrapText="1"/>
    </xf>
    <xf numFmtId="0" fontId="73" fillId="0" borderId="49" xfId="206" applyNumberFormat="1" applyFont="1" applyFill="1" applyBorder="1" applyAlignment="1">
      <alignment horizontal="center" vertical="center"/>
    </xf>
    <xf numFmtId="0" fontId="73" fillId="0" borderId="65" xfId="363" applyFont="1" applyFill="1" applyBorder="1" applyAlignment="1">
      <alignment horizontal="center" vertical="center"/>
    </xf>
    <xf numFmtId="49" fontId="73" fillId="0" borderId="45" xfId="363" applyNumberFormat="1" applyFont="1" applyFill="1" applyBorder="1" applyAlignment="1">
      <alignment horizontal="justify" vertical="center" wrapText="1"/>
    </xf>
    <xf numFmtId="49" fontId="73" fillId="0" borderId="64" xfId="363" applyNumberFormat="1" applyFont="1" applyFill="1" applyBorder="1" applyAlignment="1">
      <alignment horizontal="justify" vertical="center" wrapText="1"/>
    </xf>
    <xf numFmtId="0" fontId="94" fillId="56" borderId="47" xfId="206" applyNumberFormat="1" applyFont="1" applyFill="1" applyBorder="1" applyAlignment="1">
      <alignment vertical="center"/>
    </xf>
    <xf numFmtId="0" fontId="94" fillId="56" borderId="49" xfId="206" applyNumberFormat="1" applyFont="1" applyFill="1" applyBorder="1" applyAlignment="1">
      <alignment vertical="center"/>
    </xf>
    <xf numFmtId="0" fontId="94" fillId="56" borderId="48" xfId="206" applyNumberFormat="1" applyFont="1" applyFill="1" applyBorder="1" applyAlignment="1">
      <alignment vertical="center"/>
    </xf>
    <xf numFmtId="0" fontId="94" fillId="56" borderId="56" xfId="206" applyNumberFormat="1" applyFont="1" applyFill="1" applyBorder="1" applyAlignment="1">
      <alignment vertical="center"/>
    </xf>
    <xf numFmtId="0" fontId="94" fillId="56" borderId="52" xfId="206" applyNumberFormat="1" applyFont="1" applyFill="1" applyBorder="1" applyAlignment="1">
      <alignment vertical="center"/>
    </xf>
    <xf numFmtId="0" fontId="94" fillId="56" borderId="1" xfId="206" applyNumberFormat="1" applyFont="1" applyFill="1" applyBorder="1" applyAlignment="1">
      <alignment vertical="center"/>
    </xf>
    <xf numFmtId="0" fontId="94" fillId="56" borderId="54" xfId="206" applyNumberFormat="1" applyFont="1" applyFill="1" applyBorder="1" applyAlignment="1">
      <alignment vertical="center"/>
    </xf>
    <xf numFmtId="0" fontId="94" fillId="56" borderId="43" xfId="206" applyNumberFormat="1" applyFont="1" applyFill="1" applyBorder="1" applyAlignment="1">
      <alignment vertical="center"/>
    </xf>
    <xf numFmtId="0" fontId="94" fillId="56" borderId="53" xfId="206" applyNumberFormat="1" applyFont="1" applyFill="1" applyBorder="1" applyAlignment="1">
      <alignment vertical="center"/>
    </xf>
    <xf numFmtId="0" fontId="2" fillId="2" borderId="50" xfId="0" applyFont="1" applyFill="1" applyBorder="1">
      <alignment vertical="center"/>
    </xf>
    <xf numFmtId="0" fontId="2" fillId="2" borderId="57" xfId="0" applyFont="1" applyFill="1" applyBorder="1">
      <alignment vertical="center"/>
    </xf>
    <xf numFmtId="0" fontId="2" fillId="2" borderId="55" xfId="0" applyFont="1" applyFill="1" applyBorder="1">
      <alignment vertical="center"/>
    </xf>
    <xf numFmtId="0" fontId="73" fillId="0" borderId="54" xfId="350" applyNumberFormat="1" applyFont="1" applyFill="1" applyBorder="1" applyAlignment="1">
      <alignment horizontal="left" vertical="center"/>
    </xf>
    <xf numFmtId="0" fontId="73" fillId="0" borderId="49" xfId="206" applyNumberFormat="1" applyFont="1" applyFill="1" applyBorder="1" applyAlignment="1">
      <alignment vertical="center"/>
    </xf>
    <xf numFmtId="0" fontId="73" fillId="0" borderId="54" xfId="206" applyNumberFormat="1" applyFont="1" applyFill="1" applyBorder="1" applyAlignment="1">
      <alignment horizontal="left" vertical="center"/>
    </xf>
    <xf numFmtId="0" fontId="94" fillId="0" borderId="49" xfId="206" applyNumberFormat="1" applyFont="1" applyFill="1" applyBorder="1" applyAlignment="1">
      <alignment vertical="center"/>
    </xf>
    <xf numFmtId="0" fontId="73" fillId="0" borderId="68" xfId="350" applyNumberFormat="1" applyFont="1" applyFill="1" applyBorder="1" applyAlignment="1">
      <alignment horizontal="left" vertical="center"/>
    </xf>
    <xf numFmtId="0" fontId="73" fillId="0" borderId="69" xfId="350" applyNumberFormat="1" applyFont="1" applyFill="1" applyBorder="1" applyAlignment="1">
      <alignment horizontal="left" vertical="center"/>
    </xf>
    <xf numFmtId="0" fontId="73" fillId="0" borderId="67" xfId="350" applyNumberFormat="1" applyFont="1" applyFill="1" applyBorder="1" applyAlignment="1">
      <alignment horizontal="left" vertical="center"/>
    </xf>
    <xf numFmtId="0" fontId="73" fillId="0" borderId="52" xfId="350" applyNumberFormat="1" applyFont="1" applyFill="1" applyBorder="1" applyAlignment="1">
      <alignment horizontal="left" vertical="center"/>
    </xf>
    <xf numFmtId="0" fontId="73" fillId="0" borderId="53" xfId="350" applyNumberFormat="1" applyFont="1" applyFill="1" applyBorder="1" applyAlignment="1">
      <alignment horizontal="left" vertical="center"/>
    </xf>
    <xf numFmtId="0" fontId="73" fillId="0" borderId="50" xfId="350" applyNumberFormat="1" applyFont="1" applyFill="1" applyBorder="1" applyAlignment="1">
      <alignment horizontal="left" vertical="center"/>
    </xf>
    <xf numFmtId="0" fontId="73" fillId="0" borderId="55" xfId="350" applyNumberFormat="1" applyFont="1" applyFill="1" applyBorder="1" applyAlignment="1">
      <alignment horizontal="left" vertical="center"/>
    </xf>
    <xf numFmtId="0" fontId="73" fillId="0" borderId="65" xfId="350" applyNumberFormat="1" applyFont="1" applyFill="1" applyBorder="1" applyAlignment="1">
      <alignment horizontal="left" vertical="center"/>
    </xf>
    <xf numFmtId="0" fontId="73" fillId="0" borderId="64" xfId="350" applyNumberFormat="1" applyFont="1" applyFill="1" applyBorder="1" applyAlignment="1">
      <alignment horizontal="left" vertical="center"/>
    </xf>
    <xf numFmtId="0" fontId="73" fillId="0" borderId="48" xfId="206" applyNumberFormat="1" applyFont="1" applyFill="1" applyBorder="1" applyAlignment="1">
      <alignment vertical="center"/>
    </xf>
    <xf numFmtId="0" fontId="73" fillId="0" borderId="47" xfId="206" applyNumberFormat="1" applyFont="1" applyFill="1" applyBorder="1" applyAlignment="1">
      <alignment vertical="center"/>
    </xf>
    <xf numFmtId="0" fontId="73" fillId="0" borderId="68" xfId="206" applyNumberFormat="1" applyFont="1" applyFill="1" applyBorder="1" applyAlignment="1">
      <alignment horizontal="left" vertical="center"/>
    </xf>
    <xf numFmtId="0" fontId="73" fillId="0" borderId="39" xfId="206" applyNumberFormat="1" applyFont="1" applyFill="1" applyBorder="1" applyAlignment="1">
      <alignment vertical="center"/>
    </xf>
    <xf numFmtId="0" fontId="73" fillId="0" borderId="69" xfId="206" applyNumberFormat="1" applyFont="1" applyFill="1" applyBorder="1" applyAlignment="1">
      <alignment horizontal="left" vertical="center"/>
    </xf>
    <xf numFmtId="0" fontId="73" fillId="0" borderId="52" xfId="206" applyNumberFormat="1" applyFont="1" applyFill="1" applyBorder="1" applyAlignment="1">
      <alignment horizontal="left" vertical="center"/>
    </xf>
    <xf numFmtId="0" fontId="94" fillId="0" borderId="48" xfId="206" applyNumberFormat="1" applyFont="1" applyFill="1" applyBorder="1" applyAlignment="1">
      <alignment vertical="center"/>
    </xf>
    <xf numFmtId="0" fontId="94" fillId="0" borderId="53" xfId="206" applyNumberFormat="1" applyFont="1" applyFill="1" applyBorder="1" applyAlignment="1">
      <alignment vertical="center"/>
    </xf>
    <xf numFmtId="0" fontId="94" fillId="0" borderId="54" xfId="206" applyNumberFormat="1" applyFont="1" applyFill="1" applyBorder="1" applyAlignment="1">
      <alignment vertical="center"/>
    </xf>
    <xf numFmtId="0" fontId="94" fillId="0" borderId="43" xfId="206" applyNumberFormat="1" applyFont="1" applyFill="1" applyBorder="1" applyAlignment="1">
      <alignment vertical="center"/>
    </xf>
    <xf numFmtId="0" fontId="94" fillId="0" borderId="1" xfId="206" applyNumberFormat="1" applyFont="1" applyFill="1" applyBorder="1" applyAlignment="1">
      <alignment vertical="center"/>
    </xf>
    <xf numFmtId="0" fontId="94" fillId="0" borderId="68" xfId="206" applyNumberFormat="1" applyFont="1" applyFill="1" applyBorder="1" applyAlignment="1">
      <alignment vertical="center"/>
    </xf>
    <xf numFmtId="0" fontId="94" fillId="0" borderId="39" xfId="206" applyNumberFormat="1" applyFont="1" applyFill="1" applyBorder="1" applyAlignment="1">
      <alignment vertical="center"/>
    </xf>
    <xf numFmtId="0" fontId="94" fillId="0" borderId="69" xfId="206" applyNumberFormat="1" applyFont="1" applyFill="1" applyBorder="1" applyAlignment="1">
      <alignment vertical="center"/>
    </xf>
    <xf numFmtId="0" fontId="94" fillId="0" borderId="47" xfId="206" applyNumberFormat="1" applyFont="1" applyFill="1" applyBorder="1" applyAlignment="1">
      <alignment vertical="center"/>
    </xf>
    <xf numFmtId="0" fontId="94" fillId="0" borderId="56" xfId="206" applyNumberFormat="1" applyFont="1" applyFill="1" applyBorder="1" applyAlignment="1">
      <alignment vertical="center"/>
    </xf>
    <xf numFmtId="0" fontId="94" fillId="0" borderId="52" xfId="206" applyNumberFormat="1" applyFont="1" applyFill="1" applyBorder="1" applyAlignment="1">
      <alignment vertical="center"/>
    </xf>
    <xf numFmtId="0" fontId="73" fillId="0" borderId="38" xfId="350" applyNumberFormat="1" applyFont="1" applyFill="1" applyBorder="1">
      <alignment vertical="center"/>
    </xf>
    <xf numFmtId="0" fontId="73" fillId="0" borderId="39" xfId="350" applyNumberFormat="1" applyFont="1" applyFill="1" applyBorder="1">
      <alignment vertical="center"/>
    </xf>
    <xf numFmtId="0" fontId="73" fillId="0" borderId="56" xfId="350" applyNumberFormat="1" applyFont="1" applyFill="1" applyBorder="1">
      <alignment vertical="center"/>
    </xf>
    <xf numFmtId="0" fontId="73" fillId="0" borderId="43" xfId="350" applyNumberFormat="1" applyFont="1" applyFill="1" applyBorder="1">
      <alignment vertical="center"/>
    </xf>
    <xf numFmtId="0" fontId="73" fillId="0" borderId="45" xfId="350" applyNumberFormat="1" applyFont="1" applyFill="1" applyBorder="1">
      <alignment vertical="center"/>
    </xf>
    <xf numFmtId="0" fontId="73" fillId="0" borderId="1" xfId="350" applyNumberFormat="1" applyFont="1" applyFill="1" applyBorder="1">
      <alignment vertical="center"/>
    </xf>
    <xf numFmtId="0" fontId="73" fillId="0" borderId="57" xfId="350" applyNumberFormat="1" applyFont="1" applyFill="1" applyBorder="1">
      <alignment vertical="center"/>
    </xf>
    <xf numFmtId="0" fontId="73" fillId="0" borderId="48" xfId="0" applyFont="1" applyFill="1" applyBorder="1">
      <alignment vertical="center"/>
    </xf>
    <xf numFmtId="0" fontId="73" fillId="0" borderId="53" xfId="0" applyFont="1" applyFill="1" applyBorder="1">
      <alignment vertical="center"/>
    </xf>
    <xf numFmtId="0" fontId="73" fillId="0" borderId="47" xfId="0" applyFont="1" applyFill="1" applyBorder="1">
      <alignment vertical="center"/>
    </xf>
    <xf numFmtId="0" fontId="73" fillId="0" borderId="52" xfId="0" applyFont="1" applyFill="1" applyBorder="1">
      <alignment vertical="center"/>
    </xf>
    <xf numFmtId="0" fontId="73" fillId="0" borderId="56" xfId="0" applyFont="1" applyFill="1" applyBorder="1">
      <alignment vertical="center"/>
    </xf>
    <xf numFmtId="0" fontId="73" fillId="0" borderId="43" xfId="0" applyFont="1" applyFill="1" applyBorder="1">
      <alignment vertical="center"/>
    </xf>
    <xf numFmtId="0" fontId="73" fillId="65" borderId="48" xfId="206" applyNumberFormat="1" applyFont="1" applyFill="1" applyBorder="1" applyAlignment="1">
      <alignment horizontal="left" vertical="center"/>
    </xf>
    <xf numFmtId="0" fontId="78" fillId="60" borderId="24" xfId="0" applyFont="1" applyFill="1" applyBorder="1" applyAlignment="1">
      <alignment horizontal="left" vertical="center" wrapText="1" shrinkToFit="1"/>
    </xf>
    <xf numFmtId="0" fontId="100" fillId="0" borderId="6" xfId="0" applyFont="1" applyBorder="1" applyProtection="1">
      <alignment vertical="center"/>
    </xf>
    <xf numFmtId="0" fontId="99" fillId="0" borderId="0" xfId="0" applyFont="1" applyProtection="1">
      <alignment vertical="center"/>
    </xf>
    <xf numFmtId="0" fontId="99" fillId="4" borderId="2" xfId="0" applyFont="1" applyFill="1" applyBorder="1" applyAlignment="1" applyProtection="1">
      <alignment horizontal="center" vertical="center"/>
    </xf>
    <xf numFmtId="0" fontId="54" fillId="60" borderId="24" xfId="0" applyFont="1" applyFill="1" applyBorder="1" applyAlignment="1">
      <alignment horizontal="left" vertical="center" wrapText="1"/>
    </xf>
    <xf numFmtId="0" fontId="104" fillId="0" borderId="0" xfId="0" applyFo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54" fillId="64" borderId="24" xfId="0" applyFont="1" applyFill="1" applyBorder="1" applyAlignment="1">
      <alignment vertical="center" wrapText="1"/>
    </xf>
    <xf numFmtId="0" fontId="105" fillId="55" borderId="24" xfId="0" applyFont="1" applyFill="1" applyBorder="1" applyAlignment="1">
      <alignment horizontal="center" vertical="center" shrinkToFit="1"/>
    </xf>
    <xf numFmtId="0" fontId="81" fillId="0" borderId="0" xfId="0" applyFont="1">
      <alignment vertical="center"/>
    </xf>
    <xf numFmtId="0" fontId="105" fillId="55" borderId="24" xfId="0" applyFont="1" applyFill="1" applyBorder="1" applyAlignment="1" applyProtection="1">
      <alignment horizontal="center" vertical="center" wrapText="1"/>
    </xf>
    <xf numFmtId="0" fontId="106" fillId="55" borderId="24" xfId="0" applyFont="1" applyFill="1" applyBorder="1" applyAlignment="1" applyProtection="1">
      <alignment horizontal="center" vertical="center" shrinkToFit="1"/>
    </xf>
    <xf numFmtId="0" fontId="107" fillId="55" borderId="24" xfId="0" applyFont="1" applyFill="1" applyBorder="1" applyAlignment="1" applyProtection="1">
      <alignment horizontal="left" vertical="center" wrapText="1"/>
    </xf>
    <xf numFmtId="0" fontId="107" fillId="55" borderId="24" xfId="0" applyFont="1" applyFill="1" applyBorder="1" applyAlignment="1" applyProtection="1">
      <alignment horizontal="center" vertical="center" wrapText="1"/>
    </xf>
    <xf numFmtId="0" fontId="108" fillId="55" borderId="24" xfId="0" applyFont="1" applyFill="1" applyBorder="1" applyAlignment="1" applyProtection="1">
      <alignment horizontal="center" vertical="center" wrapText="1"/>
    </xf>
    <xf numFmtId="0" fontId="108" fillId="55" borderId="24" xfId="0" applyFont="1" applyFill="1" applyBorder="1" applyAlignment="1" applyProtection="1">
      <alignment vertical="center" wrapText="1"/>
    </xf>
    <xf numFmtId="0" fontId="108" fillId="0" borderId="0" xfId="0" applyFont="1" applyFill="1" applyProtection="1">
      <alignment vertical="center"/>
    </xf>
    <xf numFmtId="0" fontId="108" fillId="0" borderId="0" xfId="0" applyFont="1" applyProtection="1">
      <alignment vertical="center"/>
    </xf>
    <xf numFmtId="49" fontId="108" fillId="55" borderId="24" xfId="0" applyNumberFormat="1" applyFont="1" applyFill="1" applyBorder="1" applyAlignment="1" applyProtection="1">
      <alignment horizontal="left" vertical="center" wrapText="1"/>
    </xf>
    <xf numFmtId="176" fontId="109" fillId="0" borderId="0" xfId="0" applyNumberFormat="1" applyFont="1" applyAlignment="1" applyProtection="1">
      <alignment horizontal="right" vertical="center"/>
    </xf>
    <xf numFmtId="0" fontId="13" fillId="0" borderId="10" xfId="0" applyFont="1" applyFill="1" applyBorder="1" applyAlignment="1">
      <alignment horizontal="center" vertical="center"/>
    </xf>
    <xf numFmtId="0" fontId="84" fillId="55" borderId="24" xfId="0" applyFont="1" applyFill="1" applyBorder="1" applyAlignment="1" applyProtection="1">
      <alignment horizontal="center" vertical="center"/>
    </xf>
    <xf numFmtId="0" fontId="58" fillId="0" borderId="40" xfId="0" applyFont="1" applyBorder="1" applyAlignment="1" applyProtection="1">
      <alignment vertical="center"/>
    </xf>
    <xf numFmtId="0" fontId="113" fillId="4" borderId="2" xfId="0" applyFont="1" applyFill="1" applyBorder="1" applyAlignment="1" applyProtection="1">
      <alignment horizontal="center" vertical="center"/>
    </xf>
    <xf numFmtId="0" fontId="53" fillId="0" borderId="24" xfId="0" applyFont="1" applyBorder="1" applyAlignment="1" applyProtection="1">
      <alignment horizontal="center" vertical="center"/>
    </xf>
    <xf numFmtId="0" fontId="83" fillId="55" borderId="24" xfId="0" applyFont="1" applyFill="1" applyBorder="1" applyAlignment="1" applyProtection="1">
      <alignment horizontal="center" vertical="center" wrapText="1"/>
    </xf>
    <xf numFmtId="0" fontId="54" fillId="58" borderId="24" xfId="0" applyFont="1" applyFill="1" applyBorder="1" applyAlignment="1">
      <alignment horizontal="center" vertical="center"/>
    </xf>
    <xf numFmtId="0" fontId="65" fillId="55" borderId="24" xfId="0" applyFont="1" applyFill="1" applyBorder="1" applyAlignment="1">
      <alignment horizontal="center" vertical="center" wrapText="1" shrinkToFit="1"/>
    </xf>
    <xf numFmtId="0" fontId="106" fillId="55" borderId="24" xfId="0" applyFont="1" applyFill="1" applyBorder="1" applyAlignment="1" applyProtection="1">
      <alignment horizontal="center" vertical="center" shrinkToFit="1"/>
    </xf>
    <xf numFmtId="177" fontId="74" fillId="58" borderId="70" xfId="0" applyNumberFormat="1" applyFont="1" applyFill="1" applyBorder="1">
      <alignment vertical="center"/>
    </xf>
    <xf numFmtId="177" fontId="74" fillId="58" borderId="71" xfId="0" applyNumberFormat="1" applyFont="1" applyFill="1" applyBorder="1">
      <alignment vertical="center"/>
    </xf>
    <xf numFmtId="177" fontId="74" fillId="58" borderId="72" xfId="0" applyNumberFormat="1" applyFont="1" applyFill="1" applyBorder="1">
      <alignment vertical="center"/>
    </xf>
    <xf numFmtId="41" fontId="2" fillId="0" borderId="0" xfId="0" applyNumberFormat="1" applyFont="1">
      <alignment vertical="center"/>
    </xf>
    <xf numFmtId="0" fontId="99" fillId="4" borderId="2" xfId="0" applyFont="1" applyFill="1" applyBorder="1" applyAlignment="1" applyProtection="1">
      <alignment horizontal="center" vertical="center"/>
    </xf>
    <xf numFmtId="0" fontId="94" fillId="56" borderId="46" xfId="206" applyNumberFormat="1" applyFont="1" applyFill="1" applyBorder="1" applyAlignment="1">
      <alignment vertical="center"/>
    </xf>
    <xf numFmtId="0" fontId="94" fillId="56" borderId="75" xfId="206" applyNumberFormat="1" applyFont="1" applyFill="1" applyBorder="1" applyAlignment="1">
      <alignment vertical="center"/>
    </xf>
    <xf numFmtId="0" fontId="94" fillId="56" borderId="76" xfId="206" applyNumberFormat="1" applyFont="1" applyFill="1" applyBorder="1" applyAlignment="1">
      <alignment vertical="center"/>
    </xf>
    <xf numFmtId="0" fontId="94" fillId="0" borderId="49" xfId="350" applyNumberFormat="1" applyFont="1" applyFill="1" applyBorder="1" applyAlignment="1">
      <alignment horizontal="left" vertical="center"/>
    </xf>
    <xf numFmtId="0" fontId="94" fillId="0" borderId="48" xfId="350" applyNumberFormat="1" applyFont="1" applyFill="1" applyBorder="1" applyAlignment="1">
      <alignment horizontal="left" vertical="center"/>
    </xf>
    <xf numFmtId="0" fontId="94" fillId="0" borderId="47" xfId="350" applyNumberFormat="1" applyFont="1" applyFill="1" applyBorder="1" applyAlignment="1">
      <alignment horizontal="left" vertical="center"/>
    </xf>
    <xf numFmtId="0" fontId="60" fillId="58" borderId="24" xfId="0" applyFont="1" applyFill="1" applyBorder="1" applyAlignment="1">
      <alignment horizontal="center" vertical="center"/>
    </xf>
    <xf numFmtId="0" fontId="60" fillId="58" borderId="24" xfId="0" applyFont="1" applyFill="1" applyBorder="1" applyAlignment="1">
      <alignment horizontal="center" vertical="center" wrapText="1"/>
    </xf>
    <xf numFmtId="0" fontId="53" fillId="0" borderId="78" xfId="0" applyFont="1" applyBorder="1" applyAlignment="1" applyProtection="1">
      <alignment vertical="center"/>
    </xf>
    <xf numFmtId="176" fontId="60" fillId="58" borderId="24" xfId="1" applyNumberFormat="1" applyFont="1" applyFill="1" applyBorder="1" applyAlignment="1" applyProtection="1">
      <alignment horizontal="right" vertical="center"/>
    </xf>
    <xf numFmtId="0" fontId="99" fillId="4" borderId="2" xfId="0" applyFont="1" applyFill="1" applyBorder="1" applyAlignment="1" applyProtection="1">
      <alignment horizontal="center" vertical="center" wrapText="1"/>
    </xf>
    <xf numFmtId="0" fontId="113" fillId="4" borderId="2" xfId="0" applyFont="1" applyFill="1" applyBorder="1" applyAlignment="1" applyProtection="1">
      <alignment horizontal="center" vertical="center"/>
    </xf>
    <xf numFmtId="176" fontId="77" fillId="0" borderId="24" xfId="1" applyNumberFormat="1" applyFont="1" applyFill="1" applyBorder="1" applyAlignment="1" applyProtection="1">
      <alignment horizontal="center" vertical="center" shrinkToFit="1"/>
    </xf>
    <xf numFmtId="0" fontId="55" fillId="58" borderId="24" xfId="0" applyFont="1" applyFill="1" applyBorder="1" applyAlignment="1">
      <alignment horizontal="center" vertical="center"/>
    </xf>
    <xf numFmtId="176" fontId="53" fillId="0" borderId="24" xfId="1" applyNumberFormat="1" applyFont="1" applyFill="1" applyBorder="1" applyAlignment="1" applyProtection="1">
      <alignment horizontal="right" vertical="center"/>
    </xf>
    <xf numFmtId="0" fontId="54" fillId="0" borderId="24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right" vertical="center"/>
    </xf>
    <xf numFmtId="0" fontId="11" fillId="0" borderId="0" xfId="0" applyFont="1" applyAlignment="1" applyProtection="1">
      <alignment horizontal="center" vertical="center"/>
    </xf>
    <xf numFmtId="0" fontId="81" fillId="0" borderId="0" xfId="0" applyFont="1" applyProtection="1">
      <alignment vertical="center"/>
    </xf>
    <xf numFmtId="176" fontId="76" fillId="64" borderId="24" xfId="1" applyNumberFormat="1" applyFont="1" applyFill="1" applyBorder="1" applyAlignment="1" applyProtection="1">
      <alignment horizontal="center" vertical="center" wrapText="1"/>
    </xf>
    <xf numFmtId="0" fontId="75" fillId="0" borderId="24" xfId="0" applyFont="1" applyFill="1" applyBorder="1" applyAlignment="1" applyProtection="1">
      <alignment horizontal="center" vertical="center" shrinkToFit="1"/>
    </xf>
    <xf numFmtId="0" fontId="54" fillId="0" borderId="24" xfId="0" applyFont="1" applyFill="1" applyBorder="1" applyAlignment="1">
      <alignment horizontal="center" vertical="center"/>
    </xf>
    <xf numFmtId="0" fontId="75" fillId="0" borderId="24" xfId="0" applyFont="1" applyFill="1" applyBorder="1" applyProtection="1">
      <alignment vertical="center"/>
    </xf>
    <xf numFmtId="0" fontId="75" fillId="0" borderId="24" xfId="0" applyFont="1" applyFill="1" applyBorder="1" applyAlignment="1" applyProtection="1">
      <alignment horizontal="center" vertical="center"/>
    </xf>
    <xf numFmtId="0" fontId="79" fillId="0" borderId="24" xfId="0" applyFont="1" applyBorder="1" applyAlignment="1" applyProtection="1">
      <alignment horizontal="center" vertical="center"/>
    </xf>
    <xf numFmtId="0" fontId="79" fillId="0" borderId="0" xfId="0" applyFont="1" applyProtection="1">
      <alignment vertical="center"/>
    </xf>
    <xf numFmtId="0" fontId="79" fillId="0" borderId="32" xfId="0" applyFont="1" applyBorder="1" applyAlignment="1" applyProtection="1">
      <alignment horizontal="center" vertical="center"/>
    </xf>
    <xf numFmtId="0" fontId="79" fillId="0" borderId="24" xfId="0" applyFont="1" applyFill="1" applyBorder="1" applyAlignment="1" applyProtection="1">
      <alignment vertical="center" shrinkToFit="1"/>
    </xf>
    <xf numFmtId="0" fontId="79" fillId="0" borderId="24" xfId="0" applyFont="1" applyFill="1" applyBorder="1" applyAlignment="1" applyProtection="1">
      <alignment horizontal="center" vertical="center"/>
    </xf>
    <xf numFmtId="0" fontId="79" fillId="0" borderId="24" xfId="0" applyFont="1" applyBorder="1" applyAlignment="1" applyProtection="1">
      <alignment horizontal="center" vertical="center" shrinkToFit="1"/>
    </xf>
    <xf numFmtId="0" fontId="79" fillId="0" borderId="6" xfId="0" applyFont="1" applyBorder="1" applyProtection="1">
      <alignment vertical="center"/>
    </xf>
    <xf numFmtId="0" fontId="79" fillId="0" borderId="3" xfId="0" applyFont="1" applyBorder="1" applyAlignment="1" applyProtection="1">
      <alignment horizontal="center" vertical="center"/>
    </xf>
    <xf numFmtId="0" fontId="75" fillId="0" borderId="24" xfId="0" applyFont="1" applyFill="1" applyBorder="1" applyAlignment="1" applyProtection="1">
      <alignment vertical="center" shrinkToFit="1"/>
    </xf>
    <xf numFmtId="176" fontId="79" fillId="0" borderId="3" xfId="1" applyNumberFormat="1" applyFont="1" applyBorder="1" applyAlignment="1" applyProtection="1">
      <alignment horizontal="right" vertical="center"/>
    </xf>
    <xf numFmtId="0" fontId="99" fillId="0" borderId="0" xfId="0" applyFont="1" applyAlignment="1" applyProtection="1">
      <alignment horizontal="center" vertical="center"/>
    </xf>
    <xf numFmtId="0" fontId="125" fillId="0" borderId="24" xfId="0" applyFont="1" applyBorder="1" applyAlignment="1">
      <alignment horizontal="left" vertical="center" shrinkToFit="1"/>
    </xf>
    <xf numFmtId="0" fontId="125" fillId="0" borderId="24" xfId="0" applyFont="1" applyBorder="1" applyAlignment="1">
      <alignment horizontal="center" vertical="center" shrinkToFit="1"/>
    </xf>
    <xf numFmtId="0" fontId="85" fillId="55" borderId="24" xfId="0" applyFont="1" applyFill="1" applyBorder="1" applyAlignment="1" applyProtection="1">
      <alignment horizontal="center" vertical="center"/>
    </xf>
    <xf numFmtId="0" fontId="77" fillId="0" borderId="24" xfId="0" applyFont="1" applyBorder="1" applyAlignment="1">
      <alignment vertical="center" shrinkToFit="1"/>
    </xf>
    <xf numFmtId="0" fontId="79" fillId="0" borderId="24" xfId="0" applyFont="1" applyBorder="1" applyAlignment="1">
      <alignment horizontal="left" vertical="center" shrinkToFit="1"/>
    </xf>
    <xf numFmtId="0" fontId="77" fillId="0" borderId="24" xfId="0" applyFont="1" applyBorder="1" applyAlignment="1">
      <alignment horizontal="left" vertical="center" shrinkToFit="1"/>
    </xf>
    <xf numFmtId="0" fontId="77" fillId="0" borderId="24" xfId="0" applyFont="1" applyBorder="1" applyAlignment="1">
      <alignment horizontal="left" vertical="center" wrapText="1"/>
    </xf>
    <xf numFmtId="0" fontId="79" fillId="0" borderId="0" xfId="0" applyFont="1">
      <alignment vertical="center"/>
    </xf>
    <xf numFmtId="0" fontId="79" fillId="0" borderId="34" xfId="0" applyFont="1" applyBorder="1" applyAlignment="1" applyProtection="1">
      <alignment horizontal="center" vertical="center"/>
    </xf>
    <xf numFmtId="0" fontId="76" fillId="55" borderId="24" xfId="0" applyFont="1" applyFill="1" applyBorder="1" applyAlignment="1">
      <alignment horizontal="center" vertical="center" shrinkToFit="1"/>
    </xf>
    <xf numFmtId="0" fontId="125" fillId="55" borderId="24" xfId="0" applyFont="1" applyFill="1" applyBorder="1" applyAlignment="1">
      <alignment horizontal="left" vertical="center" shrinkToFit="1"/>
    </xf>
    <xf numFmtId="0" fontId="125" fillId="55" borderId="24" xfId="0" applyFont="1" applyFill="1" applyBorder="1" applyAlignment="1">
      <alignment horizontal="center" vertical="center" shrinkToFit="1"/>
    </xf>
    <xf numFmtId="0" fontId="76" fillId="55" borderId="24" xfId="0" applyFont="1" applyFill="1" applyBorder="1" applyAlignment="1">
      <alignment horizontal="left" vertical="center" shrinkToFit="1"/>
    </xf>
    <xf numFmtId="0" fontId="76" fillId="55" borderId="24" xfId="0" applyFont="1" applyFill="1" applyBorder="1" applyAlignment="1">
      <alignment vertical="center" wrapText="1"/>
    </xf>
    <xf numFmtId="0" fontId="77" fillId="0" borderId="24" xfId="0" applyFont="1" applyBorder="1" applyAlignment="1" applyProtection="1">
      <alignment vertical="center" shrinkToFit="1"/>
    </xf>
    <xf numFmtId="0" fontId="77" fillId="0" borderId="24" xfId="0" applyFont="1" applyFill="1" applyBorder="1" applyAlignment="1" applyProtection="1">
      <alignment vertical="center" shrinkToFit="1"/>
    </xf>
    <xf numFmtId="0" fontId="77" fillId="0" borderId="24" xfId="0" applyFont="1" applyFill="1" applyBorder="1" applyAlignment="1" applyProtection="1">
      <alignment horizontal="center" vertical="center" shrinkToFit="1"/>
    </xf>
    <xf numFmtId="0" fontId="125" fillId="0" borderId="24" xfId="0" applyFont="1" applyFill="1" applyBorder="1" applyAlignment="1" applyProtection="1">
      <alignment horizontal="left" vertical="center" shrinkToFit="1"/>
    </xf>
    <xf numFmtId="0" fontId="77" fillId="0" borderId="24" xfId="0" applyFont="1" applyBorder="1" applyAlignment="1" applyProtection="1">
      <alignment horizontal="left" vertical="center" shrinkToFit="1"/>
    </xf>
    <xf numFmtId="0" fontId="77" fillId="0" borderId="24" xfId="0" applyFont="1" applyFill="1" applyBorder="1" applyAlignment="1" applyProtection="1">
      <alignment horizontal="left" vertical="center" shrinkToFit="1"/>
    </xf>
    <xf numFmtId="0" fontId="79" fillId="0" borderId="0" xfId="0" applyFont="1" applyFill="1" applyProtection="1">
      <alignment vertical="center"/>
    </xf>
    <xf numFmtId="0" fontId="3" fillId="0" borderId="0" xfId="0" applyFont="1" applyProtection="1">
      <alignment vertical="center"/>
    </xf>
    <xf numFmtId="0" fontId="77" fillId="0" borderId="32" xfId="0" applyFont="1" applyBorder="1" applyAlignment="1" applyProtection="1">
      <alignment horizontal="center" vertical="center"/>
    </xf>
    <xf numFmtId="0" fontId="77" fillId="0" borderId="24" xfId="0" applyFont="1" applyBorder="1" applyAlignment="1" applyProtection="1">
      <alignment horizontal="center" vertical="center"/>
    </xf>
    <xf numFmtId="0" fontId="77" fillId="0" borderId="24" xfId="0" applyFont="1" applyFill="1" applyBorder="1" applyAlignment="1" applyProtection="1">
      <alignment horizontal="center" vertical="center"/>
    </xf>
    <xf numFmtId="0" fontId="125" fillId="0" borderId="24" xfId="0" applyFont="1" applyFill="1" applyBorder="1" applyAlignment="1" applyProtection="1">
      <alignment horizontal="left" vertical="center"/>
    </xf>
    <xf numFmtId="0" fontId="79" fillId="0" borderId="24" xfId="0" applyFont="1" applyFill="1" applyBorder="1" applyAlignment="1" applyProtection="1">
      <alignment horizontal="left" vertical="center" wrapText="1"/>
    </xf>
    <xf numFmtId="0" fontId="77" fillId="0" borderId="24" xfId="0" applyFont="1" applyBorder="1" applyAlignment="1" applyProtection="1">
      <alignment horizontal="left" vertical="center" wrapText="1"/>
    </xf>
    <xf numFmtId="0" fontId="77" fillId="0" borderId="24" xfId="0" applyFont="1" applyFill="1" applyBorder="1" applyAlignment="1" applyProtection="1">
      <alignment horizontal="left" vertical="center" wrapText="1"/>
    </xf>
    <xf numFmtId="0" fontId="118" fillId="0" borderId="24" xfId="0" applyFont="1" applyBorder="1" applyAlignment="1" applyProtection="1">
      <alignment horizontal="center" vertical="center"/>
    </xf>
    <xf numFmtId="0" fontId="12" fillId="0" borderId="0" xfId="0" applyFont="1">
      <alignment vertical="center"/>
    </xf>
    <xf numFmtId="0" fontId="53" fillId="0" borderId="24" xfId="0" applyFont="1" applyFill="1" applyBorder="1" applyAlignment="1" applyProtection="1">
      <alignment horizontal="center" vertical="center"/>
    </xf>
    <xf numFmtId="177" fontId="3" fillId="4" borderId="0" xfId="0" applyNumberFormat="1" applyFont="1" applyFill="1" applyBorder="1">
      <alignment vertical="center"/>
    </xf>
    <xf numFmtId="0" fontId="92" fillId="62" borderId="61" xfId="0" applyFont="1" applyFill="1" applyBorder="1" applyAlignment="1">
      <alignment horizontal="left" vertical="center" wrapText="1"/>
    </xf>
    <xf numFmtId="0" fontId="92" fillId="63" borderId="61" xfId="0" applyFont="1" applyFill="1" applyBorder="1" applyAlignment="1">
      <alignment horizontal="left" vertical="center" wrapText="1"/>
    </xf>
    <xf numFmtId="0" fontId="2" fillId="0" borderId="0" xfId="0" applyNumberFormat="1" applyFont="1" applyProtection="1">
      <alignment vertical="center"/>
      <protection locked="0"/>
    </xf>
    <xf numFmtId="0" fontId="122" fillId="0" borderId="0" xfId="0" applyFont="1" applyBorder="1" applyAlignment="1" applyProtection="1">
      <alignment vertical="center" wrapText="1"/>
    </xf>
    <xf numFmtId="0" fontId="130" fillId="0" borderId="24" xfId="0" applyFont="1" applyBorder="1" applyAlignment="1" applyProtection="1">
      <alignment horizontal="center" vertical="center" wrapText="1"/>
    </xf>
    <xf numFmtId="0" fontId="122" fillId="0" borderId="40" xfId="0" applyFont="1" applyBorder="1" applyAlignment="1" applyProtection="1">
      <alignment vertical="center" wrapText="1"/>
    </xf>
    <xf numFmtId="0" fontId="104" fillId="0" borderId="0" xfId="0" applyFont="1" applyBorder="1" applyProtection="1">
      <alignment vertical="center"/>
    </xf>
    <xf numFmtId="0" fontId="21" fillId="0" borderId="0" xfId="0" applyFont="1" applyAlignment="1" applyProtection="1">
      <alignment horizontal="left" vertical="center"/>
    </xf>
    <xf numFmtId="177" fontId="2" fillId="0" borderId="0" xfId="0" applyNumberFormat="1" applyFont="1" applyProtection="1">
      <alignment vertical="center"/>
    </xf>
    <xf numFmtId="177" fontId="23" fillId="0" borderId="0" xfId="0" applyNumberFormat="1" applyFont="1" applyProtection="1">
      <alignment vertical="center"/>
    </xf>
    <xf numFmtId="177" fontId="25" fillId="0" borderId="0" xfId="0" applyNumberFormat="1" applyFont="1" applyProtection="1">
      <alignment vertical="center"/>
    </xf>
    <xf numFmtId="177" fontId="79" fillId="0" borderId="24" xfId="1" applyNumberFormat="1" applyFont="1" applyFill="1" applyBorder="1" applyAlignment="1" applyProtection="1">
      <alignment horizontal="right" vertical="center" shrinkToFit="1"/>
    </xf>
    <xf numFmtId="177" fontId="11" fillId="6" borderId="24" xfId="1" applyNumberFormat="1" applyFont="1" applyFill="1" applyBorder="1" applyAlignment="1" applyProtection="1">
      <alignment horizontal="right" vertical="center"/>
    </xf>
    <xf numFmtId="177" fontId="76" fillId="64" borderId="24" xfId="1" applyNumberFormat="1" applyFont="1" applyFill="1" applyBorder="1" applyAlignment="1" applyProtection="1">
      <alignment horizontal="right" vertical="center" wrapText="1"/>
    </xf>
    <xf numFmtId="177" fontId="76" fillId="60" borderId="24" xfId="1" applyNumberFormat="1" applyFont="1" applyFill="1" applyBorder="1" applyAlignment="1" applyProtection="1">
      <alignment horizontal="right" vertical="center" wrapText="1"/>
    </xf>
    <xf numFmtId="177" fontId="76" fillId="58" borderId="24" xfId="1" applyNumberFormat="1" applyFont="1" applyFill="1" applyBorder="1" applyAlignment="1" applyProtection="1">
      <alignment horizontal="right" vertical="center" wrapText="1"/>
    </xf>
    <xf numFmtId="177" fontId="78" fillId="3" borderId="24" xfId="1" applyNumberFormat="1" applyFont="1" applyFill="1" applyBorder="1" applyAlignment="1" applyProtection="1">
      <alignment horizontal="right" vertical="center" wrapText="1"/>
    </xf>
    <xf numFmtId="177" fontId="77" fillId="58" borderId="24" xfId="1" applyNumberFormat="1" applyFont="1" applyFill="1" applyBorder="1" applyAlignment="1" applyProtection="1">
      <alignment horizontal="right" vertical="center" wrapText="1"/>
    </xf>
    <xf numFmtId="177" fontId="53" fillId="6" borderId="24" xfId="1" applyNumberFormat="1" applyFont="1" applyFill="1" applyBorder="1" applyAlignment="1" applyProtection="1">
      <alignment horizontal="right" vertical="center"/>
    </xf>
    <xf numFmtId="177" fontId="2" fillId="0" borderId="0" xfId="0" applyNumberFormat="1" applyFont="1" applyAlignment="1" applyProtection="1">
      <alignment horizontal="right" vertical="center"/>
    </xf>
    <xf numFmtId="177" fontId="53" fillId="0" borderId="0" xfId="0" applyNumberFormat="1" applyFont="1" applyAlignment="1" applyProtection="1">
      <alignment horizontal="center" vertical="center"/>
    </xf>
    <xf numFmtId="177" fontId="9" fillId="0" borderId="0" xfId="0" applyNumberFormat="1" applyFont="1" applyProtection="1">
      <alignment vertical="center"/>
    </xf>
    <xf numFmtId="177" fontId="10" fillId="0" borderId="0" xfId="0" applyNumberFormat="1" applyFont="1" applyAlignment="1" applyProtection="1">
      <alignment horizontal="center" vertical="center"/>
    </xf>
    <xf numFmtId="177" fontId="99" fillId="4" borderId="2" xfId="0" applyNumberFormat="1" applyFont="1" applyFill="1" applyBorder="1" applyAlignment="1" applyProtection="1">
      <alignment horizontal="center" vertical="center"/>
    </xf>
    <xf numFmtId="177" fontId="79" fillId="6" borderId="24" xfId="1" applyNumberFormat="1" applyFont="1" applyFill="1" applyBorder="1" applyAlignment="1" applyProtection="1">
      <alignment horizontal="right" vertical="center"/>
    </xf>
    <xf numFmtId="177" fontId="81" fillId="58" borderId="24" xfId="0" applyNumberFormat="1" applyFont="1" applyFill="1" applyBorder="1" applyAlignment="1">
      <alignment horizontal="right" vertical="center"/>
    </xf>
    <xf numFmtId="177" fontId="60" fillId="58" borderId="24" xfId="1" applyNumberFormat="1" applyFont="1" applyFill="1" applyBorder="1" applyAlignment="1" applyProtection="1">
      <alignment horizontal="right" vertical="center"/>
    </xf>
    <xf numFmtId="177" fontId="24" fillId="0" borderId="0" xfId="0" applyNumberFormat="1" applyFont="1" applyProtection="1">
      <alignment vertical="center"/>
    </xf>
    <xf numFmtId="177" fontId="24" fillId="10" borderId="0" xfId="0" applyNumberFormat="1" applyFont="1" applyFill="1" applyProtection="1">
      <alignment vertical="center"/>
    </xf>
    <xf numFmtId="177" fontId="77" fillId="0" borderId="24" xfId="1" applyNumberFormat="1" applyFont="1" applyFill="1" applyBorder="1" applyAlignment="1" applyProtection="1">
      <alignment horizontal="right" vertical="center" shrinkToFit="1"/>
    </xf>
    <xf numFmtId="177" fontId="77" fillId="6" borderId="24" xfId="1" applyNumberFormat="1" applyFont="1" applyFill="1" applyBorder="1" applyAlignment="1" applyProtection="1">
      <alignment horizontal="right" vertical="center" shrinkToFit="1"/>
    </xf>
    <xf numFmtId="177" fontId="65" fillId="6" borderId="24" xfId="1" applyNumberFormat="1" applyFont="1" applyFill="1" applyBorder="1" applyAlignment="1" applyProtection="1">
      <alignment horizontal="right" vertical="center" wrapText="1"/>
    </xf>
    <xf numFmtId="177" fontId="22" fillId="0" borderId="0" xfId="0" applyNumberFormat="1" applyFont="1" applyProtection="1">
      <alignment vertical="center"/>
    </xf>
    <xf numFmtId="177" fontId="109" fillId="0" borderId="0" xfId="0" applyNumberFormat="1" applyFont="1" applyAlignment="1" applyProtection="1">
      <alignment horizontal="right" vertical="center"/>
    </xf>
    <xf numFmtId="177" fontId="99" fillId="4" borderId="24" xfId="0" applyNumberFormat="1" applyFont="1" applyFill="1" applyBorder="1" applyAlignment="1" applyProtection="1">
      <alignment horizontal="center" vertical="center"/>
    </xf>
    <xf numFmtId="177" fontId="125" fillId="6" borderId="24" xfId="1" applyNumberFormat="1" applyFont="1" applyFill="1" applyBorder="1" applyAlignment="1" applyProtection="1">
      <alignment horizontal="right" vertical="center"/>
    </xf>
    <xf numFmtId="177" fontId="106" fillId="6" borderId="24" xfId="1" applyNumberFormat="1" applyFont="1" applyFill="1" applyBorder="1" applyAlignment="1" applyProtection="1">
      <alignment horizontal="right" vertical="center" shrinkToFit="1"/>
    </xf>
    <xf numFmtId="177" fontId="106" fillId="6" borderId="24" xfId="1" applyNumberFormat="1" applyFont="1" applyFill="1" applyBorder="1" applyAlignment="1" applyProtection="1">
      <alignment horizontal="right" vertical="center" wrapText="1"/>
    </xf>
    <xf numFmtId="177" fontId="10" fillId="0" borderId="0" xfId="0" applyNumberFormat="1" applyFont="1" applyAlignment="1" applyProtection="1">
      <alignment horizontal="right" vertical="center"/>
    </xf>
    <xf numFmtId="177" fontId="79" fillId="0" borderId="10" xfId="1" applyNumberFormat="1" applyFont="1" applyFill="1" applyBorder="1" applyAlignment="1" applyProtection="1">
      <alignment horizontal="right" vertical="center"/>
    </xf>
    <xf numFmtId="177" fontId="54" fillId="60" borderId="24" xfId="1" applyNumberFormat="1" applyFont="1" applyFill="1" applyBorder="1" applyAlignment="1" applyProtection="1">
      <alignment horizontal="right" vertical="center"/>
    </xf>
    <xf numFmtId="177" fontId="54" fillId="58" borderId="24" xfId="1" applyNumberFormat="1" applyFont="1" applyFill="1" applyBorder="1" applyAlignment="1" applyProtection="1">
      <alignment horizontal="right" vertical="center"/>
    </xf>
    <xf numFmtId="177" fontId="54" fillId="3" borderId="24" xfId="1" applyNumberFormat="1" applyFont="1" applyFill="1" applyBorder="1" applyAlignment="1" applyProtection="1">
      <alignment horizontal="right" vertical="center"/>
    </xf>
    <xf numFmtId="177" fontId="60" fillId="0" borderId="0" xfId="0" applyNumberFormat="1" applyFont="1" applyProtection="1">
      <alignment vertical="center"/>
    </xf>
    <xf numFmtId="177" fontId="115" fillId="0" borderId="0" xfId="0" applyNumberFormat="1" applyFont="1" applyProtection="1">
      <alignment vertical="center"/>
    </xf>
    <xf numFmtId="177" fontId="79" fillId="0" borderId="24" xfId="1" applyNumberFormat="1" applyFont="1" applyFill="1" applyBorder="1" applyAlignment="1" applyProtection="1">
      <alignment horizontal="right" vertical="center"/>
    </xf>
    <xf numFmtId="177" fontId="11" fillId="0" borderId="0" xfId="0" applyNumberFormat="1" applyFont="1" applyAlignment="1" applyProtection="1">
      <alignment horizontal="center" vertical="center"/>
    </xf>
    <xf numFmtId="177" fontId="113" fillId="4" borderId="2" xfId="0" applyNumberFormat="1" applyFont="1" applyFill="1" applyBorder="1" applyAlignment="1" applyProtection="1">
      <alignment horizontal="center" vertical="center"/>
    </xf>
    <xf numFmtId="177" fontId="60" fillId="58" borderId="30" xfId="0" applyNumberFormat="1" applyFont="1" applyFill="1" applyBorder="1" applyAlignment="1">
      <alignment horizontal="right" vertical="center"/>
    </xf>
    <xf numFmtId="177" fontId="60" fillId="0" borderId="0" xfId="0" applyNumberFormat="1" applyFont="1" applyAlignment="1" applyProtection="1">
      <alignment horizontal="center" vertical="center"/>
    </xf>
    <xf numFmtId="177" fontId="21" fillId="0" borderId="0" xfId="0" applyNumberFormat="1" applyFont="1" applyProtection="1">
      <alignment vertical="center"/>
    </xf>
    <xf numFmtId="177" fontId="77" fillId="0" borderId="24" xfId="1" applyNumberFormat="1" applyFont="1" applyFill="1" applyBorder="1" applyAlignment="1" applyProtection="1">
      <alignment horizontal="right" vertical="center"/>
    </xf>
    <xf numFmtId="177" fontId="54" fillId="0" borderId="0" xfId="0" applyNumberFormat="1" applyFont="1" applyProtection="1">
      <alignment vertical="center"/>
    </xf>
    <xf numFmtId="177" fontId="54" fillId="0" borderId="0" xfId="0" applyNumberFormat="1" applyFont="1" applyFill="1" applyProtection="1">
      <alignment vertical="center"/>
    </xf>
    <xf numFmtId="177" fontId="53" fillId="0" borderId="0" xfId="0" applyNumberFormat="1" applyFont="1" applyProtection="1">
      <alignment vertical="center"/>
    </xf>
    <xf numFmtId="177" fontId="61" fillId="0" borderId="0" xfId="0" applyNumberFormat="1" applyFont="1" applyProtection="1">
      <alignment vertical="center"/>
    </xf>
    <xf numFmtId="177" fontId="55" fillId="3" borderId="24" xfId="1" applyNumberFormat="1" applyFont="1" applyFill="1" applyBorder="1" applyAlignment="1" applyProtection="1">
      <alignment horizontal="right" vertical="center"/>
    </xf>
    <xf numFmtId="177" fontId="55" fillId="58" borderId="24" xfId="1" applyNumberFormat="1" applyFont="1" applyFill="1" applyBorder="1" applyAlignment="1" applyProtection="1">
      <alignment horizontal="right" vertical="center"/>
    </xf>
    <xf numFmtId="177" fontId="55" fillId="0" borderId="0" xfId="0" applyNumberFormat="1" applyFont="1" applyProtection="1">
      <alignment vertical="center"/>
    </xf>
    <xf numFmtId="177" fontId="72" fillId="0" borderId="0" xfId="0" applyNumberFormat="1" applyFont="1" applyAlignment="1">
      <alignment horizontal="centerContinuous" vertical="center"/>
    </xf>
    <xf numFmtId="177" fontId="16" fillId="0" borderId="0" xfId="0" applyNumberFormat="1" applyFont="1" applyAlignment="1">
      <alignment horizontal="centerContinuous" vertical="center"/>
    </xf>
    <xf numFmtId="177" fontId="2" fillId="0" borderId="0" xfId="0" applyNumberFormat="1" applyFont="1">
      <alignment vertical="center"/>
    </xf>
    <xf numFmtId="177" fontId="3" fillId="8" borderId="25" xfId="0" applyNumberFormat="1" applyFont="1" applyFill="1" applyBorder="1" applyAlignment="1">
      <alignment horizontal="center" vertical="center"/>
    </xf>
    <xf numFmtId="177" fontId="2" fillId="58" borderId="2" xfId="1" applyNumberFormat="1" applyFont="1" applyFill="1" applyBorder="1" applyAlignment="1">
      <alignment vertical="center"/>
    </xf>
    <xf numFmtId="177" fontId="3" fillId="8" borderId="2" xfId="0" applyNumberFormat="1" applyFont="1" applyFill="1" applyBorder="1" applyAlignment="1">
      <alignment horizontal="center" vertical="center"/>
    </xf>
    <xf numFmtId="177" fontId="2" fillId="58" borderId="2" xfId="0" applyNumberFormat="1" applyFont="1" applyFill="1" applyBorder="1">
      <alignment vertical="center"/>
    </xf>
    <xf numFmtId="177" fontId="2" fillId="58" borderId="2" xfId="1" applyNumberFormat="1" applyFont="1" applyFill="1" applyBorder="1">
      <alignment vertical="center"/>
    </xf>
    <xf numFmtId="177" fontId="2" fillId="0" borderId="0" xfId="0" applyNumberFormat="1" applyFont="1" applyAlignment="1">
      <alignment horizontal="right" vertical="center"/>
    </xf>
    <xf numFmtId="177" fontId="15" fillId="6" borderId="2" xfId="0" applyNumberFormat="1" applyFont="1" applyFill="1" applyBorder="1" applyAlignment="1">
      <alignment horizontal="centerContinuous" vertical="center"/>
    </xf>
    <xf numFmtId="177" fontId="3" fillId="6" borderId="2" xfId="0" applyNumberFormat="1" applyFont="1" applyFill="1" applyBorder="1" applyAlignment="1">
      <alignment horizontal="centerContinuous" vertical="center"/>
    </xf>
    <xf numFmtId="177" fontId="3" fillId="6" borderId="2" xfId="0" applyNumberFormat="1" applyFont="1" applyFill="1" applyBorder="1" applyAlignment="1">
      <alignment horizontal="center" vertical="center"/>
    </xf>
    <xf numFmtId="177" fontId="3" fillId="3" borderId="25" xfId="0" applyNumberFormat="1" applyFont="1" applyFill="1" applyBorder="1" applyAlignment="1">
      <alignment horizontal="center" vertical="center"/>
    </xf>
    <xf numFmtId="177" fontId="3" fillId="3" borderId="2" xfId="0" applyNumberFormat="1" applyFont="1" applyFill="1" applyBorder="1">
      <alignment vertical="center"/>
    </xf>
    <xf numFmtId="177" fontId="3" fillId="3" borderId="2" xfId="0" applyNumberFormat="1" applyFont="1" applyFill="1" applyBorder="1" applyAlignment="1">
      <alignment horizontal="center" vertical="center"/>
    </xf>
    <xf numFmtId="177" fontId="3" fillId="7" borderId="25" xfId="0" applyNumberFormat="1" applyFont="1" applyFill="1" applyBorder="1" applyAlignment="1">
      <alignment horizontal="center" vertical="center"/>
    </xf>
    <xf numFmtId="177" fontId="3" fillId="7" borderId="2" xfId="0" applyNumberFormat="1" applyFont="1" applyFill="1" applyBorder="1">
      <alignment vertical="center"/>
    </xf>
    <xf numFmtId="177" fontId="3" fillId="7" borderId="2" xfId="0" applyNumberFormat="1" applyFont="1" applyFill="1" applyBorder="1" applyAlignment="1">
      <alignment horizontal="center" vertical="center"/>
    </xf>
    <xf numFmtId="177" fontId="2" fillId="59" borderId="25" xfId="0" applyNumberFormat="1" applyFont="1" applyFill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7" fontId="2" fillId="58" borderId="79" xfId="0" applyNumberFormat="1" applyFont="1" applyFill="1" applyBorder="1">
      <alignment vertical="center"/>
    </xf>
    <xf numFmtId="177" fontId="3" fillId="7" borderId="79" xfId="0" applyNumberFormat="1" applyFont="1" applyFill="1" applyBorder="1">
      <alignment vertical="center"/>
    </xf>
    <xf numFmtId="0" fontId="54" fillId="58" borderId="24" xfId="0" applyFont="1" applyFill="1" applyBorder="1" applyAlignment="1">
      <alignment horizontal="center" vertical="center" wrapText="1"/>
    </xf>
    <xf numFmtId="0" fontId="74" fillId="56" borderId="24" xfId="0" applyFont="1" applyFill="1" applyBorder="1" applyAlignment="1">
      <alignment horizontal="center" vertical="center"/>
    </xf>
    <xf numFmtId="0" fontId="74" fillId="56" borderId="27" xfId="0" applyFont="1" applyFill="1" applyBorder="1" applyAlignment="1">
      <alignment horizontal="center" vertical="center"/>
    </xf>
    <xf numFmtId="0" fontId="11" fillId="55" borderId="24" xfId="0" applyFont="1" applyFill="1" applyBorder="1" applyAlignment="1" applyProtection="1">
      <alignment horizontal="center" vertical="center" shrinkToFit="1"/>
    </xf>
    <xf numFmtId="0" fontId="78" fillId="0" borderId="24" xfId="0" applyFont="1" applyFill="1" applyBorder="1" applyAlignment="1">
      <alignment horizontal="center" vertical="center" wrapText="1"/>
    </xf>
    <xf numFmtId="177" fontId="74" fillId="58" borderId="84" xfId="0" applyNumberFormat="1" applyFont="1" applyFill="1" applyBorder="1">
      <alignment vertical="center"/>
    </xf>
    <xf numFmtId="177" fontId="74" fillId="58" borderId="85" xfId="0" applyNumberFormat="1" applyFont="1" applyFill="1" applyBorder="1">
      <alignment vertical="center"/>
    </xf>
    <xf numFmtId="177" fontId="74" fillId="58" borderId="42" xfId="0" applyNumberFormat="1" applyFont="1" applyFill="1" applyBorder="1">
      <alignment vertical="center"/>
    </xf>
    <xf numFmtId="177" fontId="74" fillId="58" borderId="86" xfId="0" applyNumberFormat="1" applyFont="1" applyFill="1" applyBorder="1">
      <alignment vertical="center"/>
    </xf>
    <xf numFmtId="177" fontId="74" fillId="58" borderId="87" xfId="0" applyNumberFormat="1" applyFont="1" applyFill="1" applyBorder="1">
      <alignment vertical="center"/>
    </xf>
    <xf numFmtId="0" fontId="9" fillId="64" borderId="24" xfId="0" applyFont="1" applyFill="1" applyBorder="1" applyAlignment="1">
      <alignment horizontal="center" vertical="center" wrapText="1"/>
    </xf>
    <xf numFmtId="0" fontId="86" fillId="0" borderId="0" xfId="0" applyFont="1" applyBorder="1" applyAlignment="1" applyProtection="1">
      <alignment horizontal="left" vertical="center" shrinkToFit="1"/>
    </xf>
    <xf numFmtId="0" fontId="64" fillId="0" borderId="0" xfId="0" applyFont="1" applyBorder="1" applyAlignment="1" applyProtection="1">
      <alignment horizontal="left" vertical="center" shrinkToFit="1"/>
    </xf>
    <xf numFmtId="0" fontId="105" fillId="55" borderId="24" xfId="0" applyFont="1" applyFill="1" applyBorder="1" applyAlignment="1" applyProtection="1">
      <alignment horizontal="left" vertical="center" wrapText="1"/>
    </xf>
    <xf numFmtId="0" fontId="109" fillId="64" borderId="24" xfId="0" applyFont="1" applyFill="1" applyBorder="1" applyAlignment="1">
      <alignment vertical="center" wrapText="1" shrinkToFit="1"/>
    </xf>
    <xf numFmtId="0" fontId="133" fillId="66" borderId="0" xfId="373">
      <alignment vertical="center"/>
    </xf>
    <xf numFmtId="176" fontId="125" fillId="6" borderId="24" xfId="1" applyNumberFormat="1" applyFont="1" applyFill="1" applyBorder="1" applyAlignment="1" applyProtection="1">
      <alignment horizontal="center" vertical="center"/>
    </xf>
    <xf numFmtId="177" fontId="11" fillId="6" borderId="24" xfId="1" applyNumberFormat="1" applyFont="1" applyFill="1" applyBorder="1" applyAlignment="1" applyProtection="1">
      <alignment horizontal="center" vertical="center"/>
    </xf>
    <xf numFmtId="177" fontId="53" fillId="6" borderId="24" xfId="1" applyNumberFormat="1" applyFont="1" applyFill="1" applyBorder="1" applyAlignment="1" applyProtection="1">
      <alignment horizontal="center" vertical="center"/>
    </xf>
    <xf numFmtId="177" fontId="54" fillId="0" borderId="0" xfId="0" applyNumberFormat="1" applyFont="1" applyAlignment="1" applyProtection="1">
      <alignment horizontal="center" vertical="center"/>
    </xf>
    <xf numFmtId="184" fontId="0" fillId="0" borderId="0" xfId="0" applyNumberFormat="1">
      <alignment vertical="center"/>
    </xf>
    <xf numFmtId="0" fontId="94" fillId="56" borderId="47" xfId="350" applyNumberFormat="1" applyFont="1" applyFill="1" applyBorder="1" applyAlignment="1">
      <alignment horizontal="left" vertical="center"/>
    </xf>
    <xf numFmtId="0" fontId="94" fillId="56" borderId="56" xfId="350" applyNumberFormat="1" applyFont="1" applyFill="1" applyBorder="1" applyAlignment="1">
      <alignment horizontal="left" vertical="center"/>
    </xf>
    <xf numFmtId="0" fontId="94" fillId="56" borderId="46" xfId="350" applyNumberFormat="1" applyFont="1" applyFill="1" applyBorder="1">
      <alignment vertical="center"/>
    </xf>
    <xf numFmtId="49" fontId="94" fillId="56" borderId="56" xfId="350" applyNumberFormat="1" applyFont="1" applyFill="1" applyBorder="1">
      <alignment vertical="center"/>
    </xf>
    <xf numFmtId="49" fontId="94" fillId="56" borderId="52" xfId="350" applyNumberFormat="1" applyFont="1" applyFill="1" applyBorder="1">
      <alignment vertical="center"/>
    </xf>
    <xf numFmtId="0" fontId="94" fillId="56" borderId="48" xfId="350" applyNumberFormat="1" applyFont="1" applyFill="1" applyBorder="1" applyAlignment="1">
      <alignment horizontal="left" vertical="center"/>
    </xf>
    <xf numFmtId="0" fontId="94" fillId="56" borderId="43" xfId="350" applyNumberFormat="1" applyFont="1" applyFill="1" applyBorder="1" applyAlignment="1">
      <alignment horizontal="left" vertical="center"/>
    </xf>
    <xf numFmtId="0" fontId="94" fillId="56" borderId="76" xfId="350" applyNumberFormat="1" applyFont="1" applyFill="1" applyBorder="1">
      <alignment vertical="center"/>
    </xf>
    <xf numFmtId="49" fontId="94" fillId="56" borderId="43" xfId="350" applyNumberFormat="1" applyFont="1" applyFill="1" applyBorder="1">
      <alignment vertical="center"/>
    </xf>
    <xf numFmtId="49" fontId="94" fillId="56" borderId="53" xfId="350" applyNumberFormat="1" applyFont="1" applyFill="1" applyBorder="1">
      <alignment vertical="center"/>
    </xf>
    <xf numFmtId="0" fontId="94" fillId="56" borderId="50" xfId="350" applyNumberFormat="1" applyFont="1" applyFill="1" applyBorder="1" applyAlignment="1">
      <alignment horizontal="left" vertical="center"/>
    </xf>
    <xf numFmtId="0" fontId="94" fillId="56" borderId="57" xfId="350" applyNumberFormat="1" applyFont="1" applyFill="1" applyBorder="1" applyAlignment="1">
      <alignment horizontal="left" vertical="center"/>
    </xf>
    <xf numFmtId="0" fontId="94" fillId="56" borderId="77" xfId="350" applyNumberFormat="1" applyFont="1" applyFill="1" applyBorder="1">
      <alignment vertical="center"/>
    </xf>
    <xf numFmtId="49" fontId="94" fillId="56" borderId="57" xfId="350" applyNumberFormat="1" applyFont="1" applyFill="1" applyBorder="1">
      <alignment vertical="center"/>
    </xf>
    <xf numFmtId="49" fontId="94" fillId="56" borderId="55" xfId="350" applyNumberFormat="1" applyFont="1" applyFill="1" applyBorder="1">
      <alignment vertical="center"/>
    </xf>
    <xf numFmtId="0" fontId="94" fillId="56" borderId="49" xfId="350" applyNumberFormat="1" applyFont="1" applyFill="1" applyBorder="1" applyAlignment="1">
      <alignment horizontal="left" vertical="center"/>
    </xf>
    <xf numFmtId="0" fontId="94" fillId="56" borderId="1" xfId="350" applyNumberFormat="1" applyFont="1" applyFill="1" applyBorder="1" applyAlignment="1">
      <alignment horizontal="left" vertical="center"/>
    </xf>
    <xf numFmtId="0" fontId="94" fillId="56" borderId="75" xfId="350" applyNumberFormat="1" applyFont="1" applyFill="1" applyBorder="1">
      <alignment vertical="center"/>
    </xf>
    <xf numFmtId="49" fontId="94" fillId="56" borderId="1" xfId="350" applyNumberFormat="1" applyFont="1" applyFill="1" applyBorder="1">
      <alignment vertical="center"/>
    </xf>
    <xf numFmtId="49" fontId="94" fillId="56" borderId="54" xfId="350" applyNumberFormat="1" applyFont="1" applyFill="1" applyBorder="1">
      <alignment vertical="center"/>
    </xf>
    <xf numFmtId="49" fontId="94" fillId="56" borderId="39" xfId="350" applyNumberFormat="1" applyFont="1" applyFill="1" applyBorder="1">
      <alignment vertical="center"/>
    </xf>
    <xf numFmtId="49" fontId="94" fillId="56" borderId="69" xfId="350" applyNumberFormat="1" applyFont="1" applyFill="1" applyBorder="1">
      <alignment vertical="center"/>
    </xf>
    <xf numFmtId="0" fontId="94" fillId="56" borderId="53" xfId="206" applyNumberFormat="1" applyFont="1" applyFill="1" applyBorder="1" applyAlignment="1">
      <alignment horizontal="left" vertical="center"/>
    </xf>
    <xf numFmtId="0" fontId="94" fillId="56" borderId="52" xfId="206" applyNumberFormat="1" applyFont="1" applyFill="1" applyBorder="1" applyAlignment="1">
      <alignment horizontal="left" vertical="center"/>
    </xf>
    <xf numFmtId="0" fontId="94" fillId="56" borderId="54" xfId="206" applyNumberFormat="1" applyFont="1" applyFill="1" applyBorder="1" applyAlignment="1">
      <alignment horizontal="left" vertical="center"/>
    </xf>
    <xf numFmtId="0" fontId="94" fillId="56" borderId="66" xfId="350" applyNumberFormat="1" applyFont="1" applyFill="1" applyBorder="1" applyAlignment="1">
      <alignment horizontal="left" vertical="center"/>
    </xf>
    <xf numFmtId="0" fontId="94" fillId="56" borderId="38" xfId="350" applyNumberFormat="1" applyFont="1" applyFill="1" applyBorder="1" applyAlignment="1">
      <alignment horizontal="left" vertical="center"/>
    </xf>
    <xf numFmtId="0" fontId="94" fillId="56" borderId="74" xfId="350" applyNumberFormat="1" applyFont="1" applyFill="1" applyBorder="1">
      <alignment vertical="center"/>
    </xf>
    <xf numFmtId="0" fontId="94" fillId="56" borderId="68" xfId="350" applyNumberFormat="1" applyFont="1" applyFill="1" applyBorder="1" applyAlignment="1">
      <alignment horizontal="left" vertical="center"/>
    </xf>
    <xf numFmtId="0" fontId="94" fillId="56" borderId="39" xfId="206" applyNumberFormat="1" applyFont="1" applyFill="1" applyBorder="1" applyAlignment="1">
      <alignment vertical="center"/>
    </xf>
    <xf numFmtId="0" fontId="94" fillId="56" borderId="73" xfId="350" applyNumberFormat="1" applyFont="1" applyFill="1" applyBorder="1">
      <alignment vertical="center"/>
    </xf>
    <xf numFmtId="0" fontId="94" fillId="56" borderId="39" xfId="350" applyNumberFormat="1" applyFont="1" applyFill="1" applyBorder="1" applyAlignment="1">
      <alignment horizontal="left" vertical="center"/>
    </xf>
    <xf numFmtId="49" fontId="94" fillId="56" borderId="45" xfId="350" applyNumberFormat="1" applyFont="1" applyFill="1" applyBorder="1">
      <alignment vertical="center"/>
    </xf>
    <xf numFmtId="49" fontId="94" fillId="56" borderId="64" xfId="350" applyNumberFormat="1" applyFont="1" applyFill="1" applyBorder="1">
      <alignment vertical="center"/>
    </xf>
    <xf numFmtId="0" fontId="94" fillId="56" borderId="47" xfId="206" applyNumberFormat="1" applyFont="1" applyFill="1" applyBorder="1" applyAlignment="1">
      <alignment horizontal="left" vertical="center"/>
    </xf>
    <xf numFmtId="0" fontId="94" fillId="56" borderId="56" xfId="206" applyNumberFormat="1" applyFont="1" applyFill="1" applyBorder="1" applyAlignment="1">
      <alignment horizontal="left" vertical="center"/>
    </xf>
    <xf numFmtId="0" fontId="94" fillId="56" borderId="49" xfId="206" applyNumberFormat="1" applyFont="1" applyFill="1" applyBorder="1" applyAlignment="1">
      <alignment horizontal="left" vertical="center"/>
    </xf>
    <xf numFmtId="0" fontId="94" fillId="56" borderId="1" xfId="206" applyNumberFormat="1" applyFont="1" applyFill="1" applyBorder="1" applyAlignment="1">
      <alignment horizontal="left" vertical="center"/>
    </xf>
    <xf numFmtId="0" fontId="94" fillId="56" borderId="48" xfId="206" applyNumberFormat="1" applyFont="1" applyFill="1" applyBorder="1" applyAlignment="1">
      <alignment horizontal="left" vertical="center"/>
    </xf>
    <xf numFmtId="0" fontId="94" fillId="65" borderId="43" xfId="206" applyNumberFormat="1" applyFont="1" applyFill="1" applyBorder="1" applyAlignment="1">
      <alignment horizontal="left" vertical="center"/>
    </xf>
    <xf numFmtId="0" fontId="94" fillId="56" borderId="43" xfId="206" applyNumberFormat="1" applyFont="1" applyFill="1" applyBorder="1" applyAlignment="1">
      <alignment horizontal="left" vertical="center"/>
    </xf>
    <xf numFmtId="0" fontId="94" fillId="56" borderId="76" xfId="206" applyNumberFormat="1" applyFont="1" applyFill="1" applyBorder="1" applyAlignment="1">
      <alignment horizontal="left" vertical="center"/>
    </xf>
    <xf numFmtId="0" fontId="73" fillId="0" borderId="82" xfId="363" applyFont="1" applyFill="1" applyBorder="1" applyAlignment="1">
      <alignment horizontal="center" vertical="center"/>
    </xf>
    <xf numFmtId="49" fontId="73" fillId="0" borderId="81" xfId="363" applyNumberFormat="1" applyFont="1" applyFill="1" applyBorder="1" applyAlignment="1">
      <alignment horizontal="justify" vertical="center" wrapText="1"/>
    </xf>
    <xf numFmtId="49" fontId="73" fillId="0" borderId="80" xfId="363" applyNumberFormat="1" applyFont="1" applyFill="1" applyBorder="1" applyAlignment="1">
      <alignment horizontal="justify" vertical="center" wrapText="1"/>
    </xf>
    <xf numFmtId="49" fontId="94" fillId="56" borderId="38" xfId="350" applyNumberFormat="1" applyFont="1" applyFill="1" applyBorder="1">
      <alignment vertical="center"/>
    </xf>
    <xf numFmtId="49" fontId="94" fillId="56" borderId="67" xfId="350" applyNumberFormat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3" fillId="2" borderId="83" xfId="0" applyFont="1" applyFill="1" applyBorder="1" applyAlignment="1">
      <alignment vertical="center"/>
    </xf>
    <xf numFmtId="0" fontId="3" fillId="2" borderId="88" xfId="0" applyFont="1" applyFill="1" applyBorder="1" applyAlignment="1">
      <alignment vertical="center"/>
    </xf>
    <xf numFmtId="0" fontId="3" fillId="2" borderId="89" xfId="0" applyFont="1" applyFill="1" applyBorder="1" applyAlignment="1">
      <alignment vertical="center"/>
    </xf>
    <xf numFmtId="0" fontId="0" fillId="0" borderId="58" xfId="0" applyBorder="1">
      <alignment vertical="center"/>
    </xf>
    <xf numFmtId="0" fontId="0" fillId="0" borderId="90" xfId="0" applyBorder="1">
      <alignment vertical="center"/>
    </xf>
    <xf numFmtId="0" fontId="0" fillId="0" borderId="59" xfId="0" applyBorder="1">
      <alignment vertical="center"/>
    </xf>
    <xf numFmtId="0" fontId="0" fillId="0" borderId="60" xfId="0" applyBorder="1">
      <alignment vertical="center"/>
    </xf>
    <xf numFmtId="0" fontId="0" fillId="0" borderId="24" xfId="0" applyBorder="1">
      <alignment vertical="center"/>
    </xf>
    <xf numFmtId="0" fontId="0" fillId="0" borderId="61" xfId="0" applyBorder="1">
      <alignment vertical="center"/>
    </xf>
    <xf numFmtId="0" fontId="0" fillId="0" borderId="62" xfId="0" applyBorder="1">
      <alignment vertical="center"/>
    </xf>
    <xf numFmtId="0" fontId="0" fillId="0" borderId="91" xfId="0" applyBorder="1">
      <alignment vertical="center"/>
    </xf>
    <xf numFmtId="0" fontId="0" fillId="0" borderId="63" xfId="0" applyBorder="1">
      <alignment vertical="center"/>
    </xf>
    <xf numFmtId="177" fontId="134" fillId="0" borderId="24" xfId="0" applyNumberFormat="1" applyFont="1" applyBorder="1">
      <alignment vertical="center"/>
    </xf>
    <xf numFmtId="177" fontId="15" fillId="6" borderId="24" xfId="0" applyNumberFormat="1" applyFont="1" applyFill="1" applyBorder="1" applyAlignment="1">
      <alignment horizontal="centerContinuous" vertical="center"/>
    </xf>
    <xf numFmtId="177" fontId="3" fillId="6" borderId="24" xfId="0" applyNumberFormat="1" applyFont="1" applyFill="1" applyBorder="1" applyAlignment="1">
      <alignment horizontal="centerContinuous" vertical="center"/>
    </xf>
    <xf numFmtId="177" fontId="136" fillId="6" borderId="24" xfId="0" applyNumberFormat="1" applyFont="1" applyFill="1" applyBorder="1" applyAlignment="1">
      <alignment horizontal="center" vertical="center" wrapText="1"/>
    </xf>
    <xf numFmtId="177" fontId="3" fillId="6" borderId="24" xfId="0" applyNumberFormat="1" applyFont="1" applyFill="1" applyBorder="1" applyAlignment="1">
      <alignment horizontal="center" vertical="center" wrapText="1"/>
    </xf>
    <xf numFmtId="177" fontId="3" fillId="6" borderId="24" xfId="0" applyNumberFormat="1" applyFont="1" applyFill="1" applyBorder="1" applyAlignment="1">
      <alignment horizontal="center" vertical="center"/>
    </xf>
    <xf numFmtId="177" fontId="3" fillId="56" borderId="92" xfId="0" applyNumberFormat="1" applyFont="1" applyFill="1" applyBorder="1" applyAlignment="1">
      <alignment horizontal="center" vertical="center"/>
    </xf>
    <xf numFmtId="177" fontId="3" fillId="56" borderId="24" xfId="0" applyNumberFormat="1" applyFont="1" applyFill="1" applyBorder="1">
      <alignment vertical="center"/>
    </xf>
    <xf numFmtId="177" fontId="3" fillId="56" borderId="24" xfId="0" applyNumberFormat="1" applyFont="1" applyFill="1" applyBorder="1" applyAlignment="1">
      <alignment horizontal="center" vertical="center"/>
    </xf>
    <xf numFmtId="177" fontId="2" fillId="59" borderId="92" xfId="0" applyNumberFormat="1" applyFont="1" applyFill="1" applyBorder="1" applyAlignment="1">
      <alignment horizontal="center" vertical="center"/>
    </xf>
    <xf numFmtId="177" fontId="2" fillId="58" borderId="24" xfId="0" applyNumberFormat="1" applyFont="1" applyFill="1" applyBorder="1">
      <alignment vertical="center"/>
    </xf>
    <xf numFmtId="177" fontId="2" fillId="0" borderId="24" xfId="0" applyNumberFormat="1" applyFont="1" applyBorder="1" applyAlignment="1">
      <alignment horizontal="center" vertical="center"/>
    </xf>
    <xf numFmtId="177" fontId="2" fillId="57" borderId="24" xfId="0" applyNumberFormat="1" applyFont="1" applyFill="1" applyBorder="1">
      <alignment vertical="center"/>
    </xf>
    <xf numFmtId="177" fontId="2" fillId="57" borderId="79" xfId="0" applyNumberFormat="1" applyFont="1" applyFill="1" applyBorder="1">
      <alignment vertical="center"/>
    </xf>
    <xf numFmtId="177" fontId="3" fillId="7" borderId="92" xfId="0" applyNumberFormat="1" applyFont="1" applyFill="1" applyBorder="1" applyAlignment="1">
      <alignment horizontal="center" vertical="center"/>
    </xf>
    <xf numFmtId="177" fontId="3" fillId="7" borderId="24" xfId="0" applyNumberFormat="1" applyFont="1" applyFill="1" applyBorder="1">
      <alignment vertical="center"/>
    </xf>
    <xf numFmtId="177" fontId="3" fillId="7" borderId="24" xfId="0" applyNumberFormat="1" applyFont="1" applyFill="1" applyBorder="1" applyAlignment="1">
      <alignment horizontal="center" vertical="center"/>
    </xf>
    <xf numFmtId="177" fontId="73" fillId="0" borderId="24" xfId="0" applyNumberFormat="1" applyFont="1" applyFill="1" applyBorder="1" applyAlignment="1">
      <alignment horizontal="center" vertical="center"/>
    </xf>
    <xf numFmtId="177" fontId="2" fillId="7" borderId="2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8" fillId="0" borderId="0" xfId="0" applyFont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70" fillId="0" borderId="0" xfId="0" applyFont="1" applyAlignment="1">
      <alignment horizontal="center" vertical="center"/>
    </xf>
    <xf numFmtId="0" fontId="71" fillId="0" borderId="28" xfId="0" applyFont="1" applyBorder="1" applyAlignment="1">
      <alignment horizontal="center" vertical="center"/>
    </xf>
    <xf numFmtId="0" fontId="71" fillId="0" borderId="21" xfId="0" applyFont="1" applyBorder="1" applyAlignment="1">
      <alignment horizontal="center" vertical="center"/>
    </xf>
    <xf numFmtId="0" fontId="71" fillId="0" borderId="29" xfId="0" applyFont="1" applyBorder="1" applyAlignment="1">
      <alignment horizontal="center" vertical="center"/>
    </xf>
    <xf numFmtId="0" fontId="13" fillId="0" borderId="32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74" fillId="56" borderId="24" xfId="0" applyFont="1" applyFill="1" applyBorder="1" applyAlignment="1">
      <alignment horizontal="center" vertical="center"/>
    </xf>
    <xf numFmtId="0" fontId="74" fillId="56" borderId="27" xfId="0" applyFont="1" applyFill="1" applyBorder="1" applyAlignment="1">
      <alignment horizontal="center" vertical="center"/>
    </xf>
    <xf numFmtId="0" fontId="74" fillId="56" borderId="32" xfId="0" applyFont="1" applyFill="1" applyBorder="1" applyAlignment="1">
      <alignment horizontal="center" vertical="center"/>
    </xf>
    <xf numFmtId="177" fontId="99" fillId="54" borderId="24" xfId="0" applyNumberFormat="1" applyFont="1" applyFill="1" applyBorder="1" applyAlignment="1" applyProtection="1">
      <alignment horizontal="center" vertical="center" wrapText="1"/>
    </xf>
    <xf numFmtId="177" fontId="99" fillId="54" borderId="32" xfId="0" applyNumberFormat="1" applyFont="1" applyFill="1" applyBorder="1" applyAlignment="1" applyProtection="1">
      <alignment horizontal="center" vertical="center" wrapText="1"/>
    </xf>
    <xf numFmtId="177" fontId="99" fillId="54" borderId="34" xfId="0" applyNumberFormat="1" applyFont="1" applyFill="1" applyBorder="1" applyAlignment="1" applyProtection="1">
      <alignment horizontal="center" vertical="center" wrapText="1"/>
    </xf>
    <xf numFmtId="177" fontId="99" fillId="54" borderId="11" xfId="0" applyNumberFormat="1" applyFont="1" applyFill="1" applyBorder="1" applyAlignment="1" applyProtection="1">
      <alignment horizontal="center" vertical="center" wrapText="1"/>
    </xf>
    <xf numFmtId="177" fontId="100" fillId="4" borderId="2" xfId="0" applyNumberFormat="1" applyFont="1" applyFill="1" applyBorder="1" applyAlignment="1" applyProtection="1">
      <alignment horizontal="center" vertical="center"/>
    </xf>
    <xf numFmtId="177" fontId="100" fillId="4" borderId="24" xfId="0" applyNumberFormat="1" applyFont="1" applyFill="1" applyBorder="1" applyAlignment="1" applyProtection="1">
      <alignment horizontal="center" vertical="center"/>
    </xf>
    <xf numFmtId="177" fontId="101" fillId="4" borderId="2" xfId="0" applyNumberFormat="1" applyFont="1" applyFill="1" applyBorder="1" applyAlignment="1" applyProtection="1">
      <alignment horizontal="center" vertical="center"/>
    </xf>
    <xf numFmtId="177" fontId="101" fillId="4" borderId="24" xfId="0" applyNumberFormat="1" applyFont="1" applyFill="1" applyBorder="1" applyAlignment="1" applyProtection="1">
      <alignment horizontal="center" vertical="center"/>
    </xf>
    <xf numFmtId="177" fontId="99" fillId="4" borderId="25" xfId="0" applyNumberFormat="1" applyFont="1" applyFill="1" applyBorder="1" applyAlignment="1" applyProtection="1">
      <alignment horizontal="center" vertical="center"/>
    </xf>
    <xf numFmtId="177" fontId="99" fillId="4" borderId="26" xfId="0" applyNumberFormat="1" applyFont="1" applyFill="1" applyBorder="1" applyAlignment="1" applyProtection="1">
      <alignment horizontal="center" vertical="center"/>
    </xf>
    <xf numFmtId="177" fontId="99" fillId="4" borderId="27" xfId="0" applyNumberFormat="1" applyFont="1" applyFill="1" applyBorder="1" applyAlignment="1" applyProtection="1">
      <alignment horizontal="center" vertical="center"/>
    </xf>
    <xf numFmtId="0" fontId="11" fillId="55" borderId="32" xfId="0" applyFont="1" applyFill="1" applyBorder="1" applyAlignment="1" applyProtection="1">
      <alignment horizontal="center" vertical="center" shrinkToFit="1"/>
    </xf>
    <xf numFmtId="0" fontId="99" fillId="54" borderId="24" xfId="0" applyFont="1" applyFill="1" applyBorder="1" applyAlignment="1" applyProtection="1">
      <alignment horizontal="center" vertical="center"/>
    </xf>
    <xf numFmtId="177" fontId="99" fillId="54" borderId="24" xfId="0" applyNumberFormat="1" applyFont="1" applyFill="1" applyBorder="1" applyAlignment="1">
      <alignment horizontal="center" vertical="center" wrapText="1"/>
    </xf>
    <xf numFmtId="177" fontId="99" fillId="54" borderId="24" xfId="0" applyNumberFormat="1" applyFont="1" applyFill="1" applyBorder="1" applyAlignment="1">
      <alignment horizontal="center" vertical="center"/>
    </xf>
    <xf numFmtId="0" fontId="11" fillId="55" borderId="24" xfId="0" applyFont="1" applyFill="1" applyBorder="1" applyAlignment="1" applyProtection="1">
      <alignment horizontal="center" vertical="center" wrapText="1" shrinkToFit="1"/>
    </xf>
    <xf numFmtId="0" fontId="99" fillId="54" borderId="24" xfId="0" applyFont="1" applyFill="1" applyBorder="1" applyAlignment="1" applyProtection="1">
      <alignment horizontal="center" vertical="center" shrinkToFit="1"/>
    </xf>
    <xf numFmtId="0" fontId="99" fillId="54" borderId="24" xfId="0" applyFont="1" applyFill="1" applyBorder="1" applyAlignment="1" applyProtection="1">
      <alignment horizontal="center" vertical="center" wrapText="1" shrinkToFit="1"/>
    </xf>
    <xf numFmtId="0" fontId="99" fillId="4" borderId="32" xfId="0" applyFont="1" applyFill="1" applyBorder="1" applyAlignment="1" applyProtection="1">
      <alignment horizontal="center" vertical="center" wrapText="1"/>
    </xf>
    <xf numFmtId="0" fontId="99" fillId="4" borderId="11" xfId="0" applyFont="1" applyFill="1" applyBorder="1" applyAlignment="1" applyProtection="1">
      <alignment horizontal="center" vertical="center" wrapText="1"/>
    </xf>
    <xf numFmtId="0" fontId="99" fillId="4" borderId="2" xfId="0" applyFont="1" applyFill="1" applyBorder="1" applyAlignment="1" applyProtection="1">
      <alignment horizontal="center" vertical="center" wrapText="1"/>
    </xf>
    <xf numFmtId="0" fontId="99" fillId="4" borderId="24" xfId="0" applyFont="1" applyFill="1" applyBorder="1" applyAlignment="1" applyProtection="1">
      <alignment horizontal="center" vertical="center" wrapText="1"/>
    </xf>
    <xf numFmtId="0" fontId="99" fillId="4" borderId="2" xfId="0" applyFont="1" applyFill="1" applyBorder="1" applyAlignment="1" applyProtection="1">
      <alignment horizontal="center" vertical="center"/>
    </xf>
    <xf numFmtId="0" fontId="122" fillId="0" borderId="25" xfId="0" applyFont="1" applyBorder="1" applyAlignment="1" applyProtection="1">
      <alignment horizontal="center" vertical="center" wrapText="1"/>
    </xf>
    <xf numFmtId="0" fontId="122" fillId="0" borderId="27" xfId="0" applyFont="1" applyBorder="1" applyAlignment="1" applyProtection="1">
      <alignment horizontal="center" vertical="center" wrapText="1"/>
    </xf>
    <xf numFmtId="0" fontId="99" fillId="4" borderId="25" xfId="0" applyFont="1" applyFill="1" applyBorder="1" applyAlignment="1" applyProtection="1">
      <alignment horizontal="center" vertical="center" wrapText="1"/>
    </xf>
    <xf numFmtId="0" fontId="99" fillId="4" borderId="27" xfId="0" applyFont="1" applyFill="1" applyBorder="1" applyAlignment="1" applyProtection="1">
      <alignment horizontal="center" vertical="center" wrapText="1"/>
    </xf>
    <xf numFmtId="0" fontId="99" fillId="4" borderId="25" xfId="0" applyFont="1" applyFill="1" applyBorder="1" applyAlignment="1" applyProtection="1">
      <alignment horizontal="center" vertical="center"/>
    </xf>
    <xf numFmtId="0" fontId="99" fillId="4" borderId="26" xfId="0" applyFont="1" applyFill="1" applyBorder="1" applyAlignment="1" applyProtection="1">
      <alignment horizontal="center" vertical="center"/>
    </xf>
    <xf numFmtId="0" fontId="99" fillId="4" borderId="27" xfId="0" applyFont="1" applyFill="1" applyBorder="1" applyAlignment="1" applyProtection="1">
      <alignment horizontal="center" vertical="center"/>
    </xf>
    <xf numFmtId="0" fontId="102" fillId="0" borderId="0" xfId="0" applyFont="1" applyBorder="1" applyAlignment="1" applyProtection="1">
      <alignment horizontal="center" vertical="center" shrinkToFit="1"/>
    </xf>
    <xf numFmtId="0" fontId="99" fillId="54" borderId="24" xfId="0" applyFont="1" applyFill="1" applyBorder="1" applyAlignment="1" applyProtection="1">
      <alignment horizontal="center" vertical="center" wrapText="1"/>
    </xf>
    <xf numFmtId="177" fontId="99" fillId="54" borderId="24" xfId="0" applyNumberFormat="1" applyFont="1" applyFill="1" applyBorder="1" applyAlignment="1" applyProtection="1">
      <alignment horizontal="center" vertical="center"/>
    </xf>
    <xf numFmtId="177" fontId="117" fillId="58" borderId="25" xfId="0" applyNumberFormat="1" applyFont="1" applyFill="1" applyBorder="1" applyAlignment="1">
      <alignment horizontal="center" vertical="center" wrapText="1"/>
    </xf>
    <xf numFmtId="177" fontId="117" fillId="58" borderId="26" xfId="0" applyNumberFormat="1" applyFont="1" applyFill="1" applyBorder="1" applyAlignment="1">
      <alignment horizontal="center" vertical="center" wrapText="1"/>
    </xf>
    <xf numFmtId="177" fontId="117" fillId="58" borderId="27" xfId="0" applyNumberFormat="1" applyFont="1" applyFill="1" applyBorder="1" applyAlignment="1">
      <alignment horizontal="center" vertical="center" wrapText="1"/>
    </xf>
    <xf numFmtId="177" fontId="116" fillId="58" borderId="25" xfId="0" applyNumberFormat="1" applyFont="1" applyFill="1" applyBorder="1" applyAlignment="1">
      <alignment horizontal="center" vertical="center" wrapText="1"/>
    </xf>
    <xf numFmtId="177" fontId="116" fillId="58" borderId="26" xfId="0" applyNumberFormat="1" applyFont="1" applyFill="1" applyBorder="1" applyAlignment="1">
      <alignment horizontal="center" vertical="center" wrapText="1"/>
    </xf>
    <xf numFmtId="177" fontId="116" fillId="58" borderId="27" xfId="0" applyNumberFormat="1" applyFont="1" applyFill="1" applyBorder="1" applyAlignment="1">
      <alignment horizontal="center" vertical="center" wrapText="1"/>
    </xf>
    <xf numFmtId="177" fontId="99" fillId="4" borderId="32" xfId="0" applyNumberFormat="1" applyFont="1" applyFill="1" applyBorder="1" applyAlignment="1" applyProtection="1">
      <alignment horizontal="center" vertical="center"/>
    </xf>
    <xf numFmtId="177" fontId="99" fillId="4" borderId="11" xfId="0" applyNumberFormat="1" applyFont="1" applyFill="1" applyBorder="1" applyAlignment="1" applyProtection="1">
      <alignment horizontal="center" vertical="center"/>
    </xf>
    <xf numFmtId="0" fontId="101" fillId="4" borderId="25" xfId="0" applyFont="1" applyFill="1" applyBorder="1" applyAlignment="1" applyProtection="1">
      <alignment horizontal="center" vertical="center"/>
    </xf>
    <xf numFmtId="0" fontId="101" fillId="4" borderId="26" xfId="0" applyFont="1" applyFill="1" applyBorder="1" applyAlignment="1" applyProtection="1">
      <alignment horizontal="center" vertical="center"/>
    </xf>
    <xf numFmtId="0" fontId="101" fillId="4" borderId="27" xfId="0" applyFont="1" applyFill="1" applyBorder="1" applyAlignment="1" applyProtection="1">
      <alignment horizontal="center" vertical="center"/>
    </xf>
    <xf numFmtId="0" fontId="117" fillId="58" borderId="25" xfId="0" applyFont="1" applyFill="1" applyBorder="1" applyAlignment="1">
      <alignment horizontal="center" vertical="center" wrapText="1"/>
    </xf>
    <xf numFmtId="0" fontId="117" fillId="58" borderId="26" xfId="0" applyFont="1" applyFill="1" applyBorder="1" applyAlignment="1">
      <alignment horizontal="center" vertical="center" wrapText="1"/>
    </xf>
    <xf numFmtId="0" fontId="117" fillId="58" borderId="27" xfId="0" applyFont="1" applyFill="1" applyBorder="1" applyAlignment="1">
      <alignment horizontal="center" vertical="center" wrapText="1"/>
    </xf>
    <xf numFmtId="0" fontId="116" fillId="58" borderId="25" xfId="0" applyFont="1" applyFill="1" applyBorder="1" applyAlignment="1">
      <alignment horizontal="center" vertical="center" wrapText="1"/>
    </xf>
    <xf numFmtId="0" fontId="116" fillId="58" borderId="26" xfId="0" applyFont="1" applyFill="1" applyBorder="1" applyAlignment="1">
      <alignment horizontal="center" vertical="center" wrapText="1"/>
    </xf>
    <xf numFmtId="0" fontId="116" fillId="58" borderId="27" xfId="0" applyFont="1" applyFill="1" applyBorder="1" applyAlignment="1">
      <alignment horizontal="center" vertical="center" wrapText="1"/>
    </xf>
    <xf numFmtId="0" fontId="100" fillId="4" borderId="25" xfId="0" applyFont="1" applyFill="1" applyBorder="1" applyAlignment="1" applyProtection="1">
      <alignment horizontal="center" vertical="center"/>
    </xf>
    <xf numFmtId="0" fontId="100" fillId="4" borderId="26" xfId="0" applyFont="1" applyFill="1" applyBorder="1" applyAlignment="1" applyProtection="1">
      <alignment horizontal="center" vertical="center"/>
    </xf>
    <xf numFmtId="0" fontId="100" fillId="4" borderId="27" xfId="0" applyFont="1" applyFill="1" applyBorder="1" applyAlignment="1" applyProtection="1">
      <alignment horizontal="center" vertical="center"/>
    </xf>
    <xf numFmtId="0" fontId="102" fillId="0" borderId="0" xfId="0" applyFont="1" applyBorder="1" applyAlignment="1" applyProtection="1">
      <alignment horizontal="center" vertical="center" wrapText="1" shrinkToFit="1"/>
    </xf>
    <xf numFmtId="0" fontId="86" fillId="0" borderId="0" xfId="0" applyFont="1" applyBorder="1" applyAlignment="1" applyProtection="1">
      <alignment horizontal="left" vertical="center" shrinkToFit="1"/>
    </xf>
    <xf numFmtId="0" fontId="99" fillId="54" borderId="32" xfId="0" applyFont="1" applyFill="1" applyBorder="1" applyAlignment="1" applyProtection="1">
      <alignment horizontal="center" vertical="center" wrapText="1" shrinkToFit="1"/>
    </xf>
    <xf numFmtId="0" fontId="99" fillId="54" borderId="34" xfId="0" applyFont="1" applyFill="1" applyBorder="1" applyAlignment="1" applyProtection="1">
      <alignment horizontal="center" vertical="center" wrapText="1" shrinkToFit="1"/>
    </xf>
    <xf numFmtId="0" fontId="99" fillId="54" borderId="11" xfId="0" applyFont="1" applyFill="1" applyBorder="1" applyAlignment="1" applyProtection="1">
      <alignment horizontal="center" vertical="center" wrapText="1" shrinkToFit="1"/>
    </xf>
    <xf numFmtId="0" fontId="65" fillId="55" borderId="24" xfId="0" applyFont="1" applyFill="1" applyBorder="1" applyAlignment="1">
      <alignment horizontal="center" vertical="center" wrapText="1" shrinkToFit="1"/>
    </xf>
    <xf numFmtId="0" fontId="113" fillId="54" borderId="24" xfId="0" applyFont="1" applyFill="1" applyBorder="1" applyAlignment="1" applyProtection="1">
      <alignment horizontal="center" vertical="center"/>
    </xf>
    <xf numFmtId="0" fontId="9" fillId="0" borderId="40" xfId="0" applyFont="1" applyBorder="1" applyAlignment="1" applyProtection="1">
      <alignment horizontal="right" vertical="center"/>
    </xf>
    <xf numFmtId="0" fontId="99" fillId="54" borderId="32" xfId="0" applyFont="1" applyFill="1" applyBorder="1" applyAlignment="1" applyProtection="1">
      <alignment horizontal="center" vertical="center" wrapText="1"/>
    </xf>
    <xf numFmtId="0" fontId="99" fillId="54" borderId="34" xfId="0" applyFont="1" applyFill="1" applyBorder="1" applyAlignment="1" applyProtection="1">
      <alignment horizontal="center" vertical="center" wrapText="1"/>
    </xf>
    <xf numFmtId="0" fontId="99" fillId="54" borderId="11" xfId="0" applyFont="1" applyFill="1" applyBorder="1" applyAlignment="1" applyProtection="1">
      <alignment horizontal="center" vertical="center" wrapText="1"/>
    </xf>
    <xf numFmtId="0" fontId="112" fillId="60" borderId="25" xfId="0" applyFont="1" applyFill="1" applyBorder="1" applyAlignment="1">
      <alignment horizontal="center" vertical="center" wrapText="1"/>
    </xf>
    <xf numFmtId="0" fontId="112" fillId="60" borderId="26" xfId="0" applyFont="1" applyFill="1" applyBorder="1" applyAlignment="1">
      <alignment horizontal="center" vertical="center" wrapText="1"/>
    </xf>
    <xf numFmtId="0" fontId="112" fillId="60" borderId="27" xfId="0" applyFont="1" applyFill="1" applyBorder="1" applyAlignment="1">
      <alignment horizontal="center" vertical="center" wrapText="1"/>
    </xf>
    <xf numFmtId="0" fontId="112" fillId="3" borderId="25" xfId="0" applyFont="1" applyFill="1" applyBorder="1" applyAlignment="1">
      <alignment horizontal="center" vertical="center" wrapText="1"/>
    </xf>
    <xf numFmtId="0" fontId="112" fillId="3" borderId="26" xfId="0" applyFont="1" applyFill="1" applyBorder="1" applyAlignment="1">
      <alignment horizontal="center" vertical="center" wrapText="1"/>
    </xf>
    <xf numFmtId="0" fontId="112" fillId="3" borderId="27" xfId="0" applyFont="1" applyFill="1" applyBorder="1" applyAlignment="1">
      <alignment horizontal="center" vertical="center" wrapText="1"/>
    </xf>
    <xf numFmtId="0" fontId="99" fillId="4" borderId="24" xfId="0" applyFont="1" applyFill="1" applyBorder="1" applyAlignment="1" applyProtection="1">
      <alignment horizontal="center" vertical="center"/>
    </xf>
    <xf numFmtId="177" fontId="99" fillId="4" borderId="24" xfId="0" applyNumberFormat="1" applyFont="1" applyFill="1" applyBorder="1" applyAlignment="1" applyProtection="1">
      <alignment horizontal="center" vertical="center"/>
    </xf>
    <xf numFmtId="0" fontId="111" fillId="64" borderId="25" xfId="0" applyFont="1" applyFill="1" applyBorder="1" applyAlignment="1">
      <alignment horizontal="center" vertical="center" wrapText="1"/>
    </xf>
    <xf numFmtId="0" fontId="111" fillId="64" borderId="26" xfId="0" applyFont="1" applyFill="1" applyBorder="1" applyAlignment="1">
      <alignment horizontal="center" vertical="center" wrapText="1"/>
    </xf>
    <xf numFmtId="0" fontId="111" fillId="64" borderId="27" xfId="0" applyFont="1" applyFill="1" applyBorder="1" applyAlignment="1">
      <alignment horizontal="center" vertical="center" wrapText="1"/>
    </xf>
    <xf numFmtId="0" fontId="99" fillId="4" borderId="34" xfId="0" applyFont="1" applyFill="1" applyBorder="1" applyAlignment="1" applyProtection="1">
      <alignment horizontal="center" vertical="center" wrapText="1"/>
    </xf>
    <xf numFmtId="0" fontId="128" fillId="4" borderId="25" xfId="0" applyFont="1" applyFill="1" applyBorder="1" applyAlignment="1" applyProtection="1">
      <alignment horizontal="center" vertical="center" wrapText="1"/>
    </xf>
    <xf numFmtId="0" fontId="128" fillId="4" borderId="26" xfId="0" applyFont="1" applyFill="1" applyBorder="1" applyAlignment="1" applyProtection="1">
      <alignment horizontal="center" vertical="center" wrapText="1"/>
    </xf>
    <xf numFmtId="0" fontId="128" fillId="4" borderId="27" xfId="0" applyFont="1" applyFill="1" applyBorder="1" applyAlignment="1" applyProtection="1">
      <alignment horizontal="center" vertical="center" wrapText="1"/>
    </xf>
    <xf numFmtId="177" fontId="111" fillId="56" borderId="25" xfId="0" applyNumberFormat="1" applyFont="1" applyFill="1" applyBorder="1" applyAlignment="1" applyProtection="1">
      <alignment horizontal="center" vertical="center" wrapText="1"/>
    </xf>
    <xf numFmtId="177" fontId="111" fillId="56" borderId="26" xfId="0" applyNumberFormat="1" applyFont="1" applyFill="1" applyBorder="1" applyAlignment="1" applyProtection="1">
      <alignment horizontal="center" vertical="center"/>
    </xf>
    <xf numFmtId="177" fontId="111" fillId="56" borderId="27" xfId="0" applyNumberFormat="1" applyFont="1" applyFill="1" applyBorder="1" applyAlignment="1" applyProtection="1">
      <alignment horizontal="center" vertical="center"/>
    </xf>
    <xf numFmtId="177" fontId="111" fillId="60" borderId="25" xfId="0" applyNumberFormat="1" applyFont="1" applyFill="1" applyBorder="1" applyAlignment="1" applyProtection="1">
      <alignment horizontal="center" vertical="center" wrapText="1"/>
    </xf>
    <xf numFmtId="177" fontId="111" fillId="60" borderId="26" xfId="0" applyNumberFormat="1" applyFont="1" applyFill="1" applyBorder="1" applyAlignment="1" applyProtection="1">
      <alignment horizontal="center" vertical="center"/>
    </xf>
    <xf numFmtId="177" fontId="111" fillId="60" borderId="27" xfId="0" applyNumberFormat="1" applyFont="1" applyFill="1" applyBorder="1" applyAlignment="1" applyProtection="1">
      <alignment horizontal="center" vertical="center"/>
    </xf>
    <xf numFmtId="0" fontId="64" fillId="0" borderId="0" xfId="0" applyFont="1" applyBorder="1" applyAlignment="1" applyProtection="1">
      <alignment horizontal="left" vertical="center" shrinkToFit="1"/>
    </xf>
    <xf numFmtId="0" fontId="100" fillId="4" borderId="2" xfId="0" applyFont="1" applyFill="1" applyBorder="1" applyAlignment="1" applyProtection="1">
      <alignment horizontal="center" vertical="center"/>
    </xf>
    <xf numFmtId="0" fontId="100" fillId="4" borderId="24" xfId="0" applyFont="1" applyFill="1" applyBorder="1" applyAlignment="1" applyProtection="1">
      <alignment horizontal="center" vertical="center"/>
    </xf>
    <xf numFmtId="177" fontId="113" fillId="54" borderId="24" xfId="0" applyNumberFormat="1" applyFont="1" applyFill="1" applyBorder="1" applyAlignment="1" applyProtection="1">
      <alignment horizontal="center" vertical="center" wrapText="1"/>
    </xf>
    <xf numFmtId="0" fontId="121" fillId="4" borderId="25" xfId="0" applyFont="1" applyFill="1" applyBorder="1" applyAlignment="1" applyProtection="1">
      <alignment horizontal="center" vertical="center" wrapText="1"/>
    </xf>
    <xf numFmtId="0" fontId="121" fillId="4" borderId="26" xfId="0" applyFont="1" applyFill="1" applyBorder="1" applyAlignment="1" applyProtection="1">
      <alignment horizontal="center" vertical="center" wrapText="1"/>
    </xf>
    <xf numFmtId="0" fontId="121" fillId="4" borderId="27" xfId="0" applyFont="1" applyFill="1" applyBorder="1" applyAlignment="1" applyProtection="1">
      <alignment horizontal="center" vertical="center" wrapText="1"/>
    </xf>
    <xf numFmtId="0" fontId="120" fillId="4" borderId="25" xfId="0" applyFont="1" applyFill="1" applyBorder="1" applyAlignment="1" applyProtection="1">
      <alignment horizontal="center" vertical="center" wrapText="1"/>
    </xf>
    <xf numFmtId="0" fontId="120" fillId="4" borderId="26" xfId="0" applyFont="1" applyFill="1" applyBorder="1" applyAlignment="1" applyProtection="1">
      <alignment horizontal="center" vertical="center" wrapText="1"/>
    </xf>
    <xf numFmtId="0" fontId="120" fillId="4" borderId="27" xfId="0" applyFont="1" applyFill="1" applyBorder="1" applyAlignment="1" applyProtection="1">
      <alignment horizontal="center" vertical="center" wrapText="1"/>
    </xf>
    <xf numFmtId="0" fontId="101" fillId="4" borderId="2" xfId="0" applyFont="1" applyFill="1" applyBorder="1" applyAlignment="1" applyProtection="1">
      <alignment horizontal="center" vertical="center"/>
    </xf>
    <xf numFmtId="0" fontId="101" fillId="4" borderId="24" xfId="0" applyFont="1" applyFill="1" applyBorder="1" applyAlignment="1" applyProtection="1">
      <alignment horizontal="center" vertical="center"/>
    </xf>
    <xf numFmtId="0" fontId="11" fillId="55" borderId="24" xfId="0" applyFont="1" applyFill="1" applyBorder="1" applyAlignment="1" applyProtection="1">
      <alignment horizontal="center" vertical="center" shrinkToFit="1"/>
    </xf>
    <xf numFmtId="0" fontId="113" fillId="4" borderId="2" xfId="0" applyFont="1" applyFill="1" applyBorder="1" applyAlignment="1" applyProtection="1">
      <alignment horizontal="center" vertical="center"/>
    </xf>
    <xf numFmtId="0" fontId="65" fillId="55" borderId="24" xfId="0" applyFont="1" applyFill="1" applyBorder="1" applyAlignment="1" applyProtection="1">
      <alignment horizontal="center" vertical="center" shrinkToFit="1"/>
    </xf>
    <xf numFmtId="0" fontId="113" fillId="4" borderId="24" xfId="0" applyFont="1" applyFill="1" applyBorder="1" applyAlignment="1" applyProtection="1">
      <alignment horizontal="center" vertical="center"/>
    </xf>
    <xf numFmtId="0" fontId="113" fillId="54" borderId="24" xfId="0" applyFont="1" applyFill="1" applyBorder="1" applyAlignment="1" applyProtection="1">
      <alignment horizontal="center" vertical="center" wrapText="1"/>
    </xf>
    <xf numFmtId="0" fontId="99" fillId="54" borderId="32" xfId="0" applyFont="1" applyFill="1" applyBorder="1" applyAlignment="1" applyProtection="1">
      <alignment horizontal="center" vertical="center"/>
    </xf>
    <xf numFmtId="0" fontId="99" fillId="54" borderId="11" xfId="0" applyFont="1" applyFill="1" applyBorder="1" applyAlignment="1" applyProtection="1">
      <alignment horizontal="center" vertical="center"/>
    </xf>
    <xf numFmtId="0" fontId="111" fillId="60" borderId="25" xfId="0" applyFont="1" applyFill="1" applyBorder="1" applyAlignment="1" applyProtection="1">
      <alignment horizontal="center" vertical="center" wrapText="1"/>
    </xf>
    <xf numFmtId="0" fontId="111" fillId="60" borderId="26" xfId="0" applyFont="1" applyFill="1" applyBorder="1" applyAlignment="1" applyProtection="1">
      <alignment horizontal="center" vertical="center" wrapText="1"/>
    </xf>
    <xf numFmtId="0" fontId="111" fillId="60" borderId="27" xfId="0" applyFont="1" applyFill="1" applyBorder="1" applyAlignment="1" applyProtection="1">
      <alignment horizontal="center" vertical="center" wrapText="1"/>
    </xf>
    <xf numFmtId="0" fontId="111" fillId="56" borderId="25" xfId="0" applyFont="1" applyFill="1" applyBorder="1" applyAlignment="1" applyProtection="1">
      <alignment horizontal="center" vertical="center" wrapText="1"/>
    </xf>
    <xf numFmtId="0" fontId="111" fillId="56" borderId="26" xfId="0" applyFont="1" applyFill="1" applyBorder="1" applyAlignment="1" applyProtection="1">
      <alignment horizontal="center" vertical="center"/>
    </xf>
    <xf numFmtId="0" fontId="111" fillId="56" borderId="27" xfId="0" applyFont="1" applyFill="1" applyBorder="1" applyAlignment="1" applyProtection="1">
      <alignment horizontal="center" vertical="center"/>
    </xf>
    <xf numFmtId="177" fontId="73" fillId="0" borderId="32" xfId="0" applyNumberFormat="1" applyFont="1" applyBorder="1" applyAlignment="1">
      <alignment horizontal="center" vertical="center"/>
    </xf>
    <xf numFmtId="177" fontId="73" fillId="0" borderId="34" xfId="0" applyNumberFormat="1" applyFont="1" applyBorder="1" applyAlignment="1">
      <alignment horizontal="center" vertical="center"/>
    </xf>
    <xf numFmtId="177" fontId="73" fillId="0" borderId="11" xfId="0" applyNumberFormat="1" applyFont="1" applyBorder="1" applyAlignment="1">
      <alignment horizontal="center" vertical="center"/>
    </xf>
    <xf numFmtId="177" fontId="2" fillId="57" borderId="32" xfId="0" applyNumberFormat="1" applyFont="1" applyFill="1" applyBorder="1" applyAlignment="1">
      <alignment horizontal="right" vertical="center"/>
    </xf>
    <xf numFmtId="177" fontId="2" fillId="57" borderId="11" xfId="0" applyNumberFormat="1" applyFont="1" applyFill="1" applyBorder="1" applyAlignment="1">
      <alignment horizontal="right" vertical="center"/>
    </xf>
    <xf numFmtId="177" fontId="73" fillId="0" borderId="32" xfId="0" applyNumberFormat="1" applyFont="1" applyFill="1" applyBorder="1" applyAlignment="1">
      <alignment horizontal="center" vertical="center"/>
    </xf>
    <xf numFmtId="177" fontId="73" fillId="0" borderId="11" xfId="0" applyNumberFormat="1" applyFont="1" applyFill="1" applyBorder="1" applyAlignment="1">
      <alignment horizontal="center" vertical="center"/>
    </xf>
    <xf numFmtId="177" fontId="2" fillId="58" borderId="32" xfId="0" applyNumberFormat="1" applyFont="1" applyFill="1" applyBorder="1" applyAlignment="1">
      <alignment horizontal="right" vertical="center"/>
    </xf>
    <xf numFmtId="177" fontId="2" fillId="58" borderId="11" xfId="0" applyNumberFormat="1" applyFont="1" applyFill="1" applyBorder="1" applyAlignment="1">
      <alignment horizontal="right" vertical="center"/>
    </xf>
    <xf numFmtId="177" fontId="135" fillId="0" borderId="40" xfId="0" applyNumberFormat="1" applyFont="1" applyBorder="1" applyAlignment="1">
      <alignment horizontal="center" vertical="center"/>
    </xf>
    <xf numFmtId="177" fontId="3" fillId="6" borderId="36" xfId="0" applyNumberFormat="1" applyFont="1" applyFill="1" applyBorder="1" applyAlignment="1">
      <alignment horizontal="center" vertical="center"/>
    </xf>
    <xf numFmtId="177" fontId="3" fillId="6" borderId="41" xfId="0" applyNumberFormat="1" applyFont="1" applyFill="1" applyBorder="1" applyAlignment="1">
      <alignment horizontal="center" vertical="center"/>
    </xf>
    <xf numFmtId="177" fontId="72" fillId="0" borderId="40" xfId="0" applyNumberFormat="1" applyFont="1" applyBorder="1" applyAlignment="1">
      <alignment horizontal="center" vertical="center"/>
    </xf>
  </cellXfs>
  <cellStyles count="377">
    <cellStyle name="20% - 강조색1 2" xfId="13" xr:uid="{00000000-0005-0000-0000-000000000000}"/>
    <cellStyle name="20% - 강조색1 2 2" xfId="157" xr:uid="{00000000-0005-0000-0000-000001000000}"/>
    <cellStyle name="20% - 강조색1 3" xfId="70" xr:uid="{00000000-0005-0000-0000-000002000000}"/>
    <cellStyle name="20% - 강조색1 4" xfId="71" xr:uid="{00000000-0005-0000-0000-000003000000}"/>
    <cellStyle name="20% - 강조색2 2" xfId="14" xr:uid="{00000000-0005-0000-0000-000004000000}"/>
    <cellStyle name="20% - 강조색2 2 2" xfId="158" xr:uid="{00000000-0005-0000-0000-000005000000}"/>
    <cellStyle name="20% - 강조색2 3" xfId="72" xr:uid="{00000000-0005-0000-0000-000006000000}"/>
    <cellStyle name="20% - 강조색2 4" xfId="73" xr:uid="{00000000-0005-0000-0000-000007000000}"/>
    <cellStyle name="20% - 강조색3 2" xfId="15" xr:uid="{00000000-0005-0000-0000-000008000000}"/>
    <cellStyle name="20% - 강조색3 2 2" xfId="159" xr:uid="{00000000-0005-0000-0000-000009000000}"/>
    <cellStyle name="20% - 강조색3 3" xfId="74" xr:uid="{00000000-0005-0000-0000-00000A000000}"/>
    <cellStyle name="20% - 강조색3 4" xfId="75" xr:uid="{00000000-0005-0000-0000-00000B000000}"/>
    <cellStyle name="20% - 강조색4 2" xfId="16" xr:uid="{00000000-0005-0000-0000-00000C000000}"/>
    <cellStyle name="20% - 강조색4 2 2" xfId="160" xr:uid="{00000000-0005-0000-0000-00000D000000}"/>
    <cellStyle name="20% - 강조색4 3" xfId="76" xr:uid="{00000000-0005-0000-0000-00000E000000}"/>
    <cellStyle name="20% - 강조색4 4" xfId="77" xr:uid="{00000000-0005-0000-0000-00000F000000}"/>
    <cellStyle name="20% - 강조색5 2" xfId="17" xr:uid="{00000000-0005-0000-0000-000010000000}"/>
    <cellStyle name="20% - 강조색5 2 2" xfId="161" xr:uid="{00000000-0005-0000-0000-000011000000}"/>
    <cellStyle name="20% - 강조색5 3" xfId="78" xr:uid="{00000000-0005-0000-0000-000012000000}"/>
    <cellStyle name="20% - 강조색5 4" xfId="79" xr:uid="{00000000-0005-0000-0000-000013000000}"/>
    <cellStyle name="20% - 강조색6 2" xfId="18" xr:uid="{00000000-0005-0000-0000-000014000000}"/>
    <cellStyle name="20% - 강조색6 2 2" xfId="162" xr:uid="{00000000-0005-0000-0000-000015000000}"/>
    <cellStyle name="20% - 강조색6 3" xfId="80" xr:uid="{00000000-0005-0000-0000-000016000000}"/>
    <cellStyle name="20% - 강조색6 4" xfId="81" xr:uid="{00000000-0005-0000-0000-000017000000}"/>
    <cellStyle name="40% - 강조색1 2" xfId="19" xr:uid="{00000000-0005-0000-0000-000018000000}"/>
    <cellStyle name="40% - 강조색1 2 2" xfId="163" xr:uid="{00000000-0005-0000-0000-000019000000}"/>
    <cellStyle name="40% - 강조색1 3" xfId="82" xr:uid="{00000000-0005-0000-0000-00001A000000}"/>
    <cellStyle name="40% - 강조색1 4" xfId="83" xr:uid="{00000000-0005-0000-0000-00001B000000}"/>
    <cellStyle name="40% - 강조색2 2" xfId="20" xr:uid="{00000000-0005-0000-0000-00001C000000}"/>
    <cellStyle name="40% - 강조색2 2 2" xfId="164" xr:uid="{00000000-0005-0000-0000-00001D000000}"/>
    <cellStyle name="40% - 강조색2 3" xfId="84" xr:uid="{00000000-0005-0000-0000-00001E000000}"/>
    <cellStyle name="40% - 강조색2 4" xfId="85" xr:uid="{00000000-0005-0000-0000-00001F000000}"/>
    <cellStyle name="40% - 강조색3 2" xfId="21" xr:uid="{00000000-0005-0000-0000-000020000000}"/>
    <cellStyle name="40% - 강조색3 2 2" xfId="165" xr:uid="{00000000-0005-0000-0000-000021000000}"/>
    <cellStyle name="40% - 강조색3 3" xfId="86" xr:uid="{00000000-0005-0000-0000-000022000000}"/>
    <cellStyle name="40% - 강조색3 4" xfId="87" xr:uid="{00000000-0005-0000-0000-000023000000}"/>
    <cellStyle name="40% - 강조색4 2" xfId="22" xr:uid="{00000000-0005-0000-0000-000024000000}"/>
    <cellStyle name="40% - 강조색4 2 2" xfId="166" xr:uid="{00000000-0005-0000-0000-000025000000}"/>
    <cellStyle name="40% - 강조색4 3" xfId="88" xr:uid="{00000000-0005-0000-0000-000026000000}"/>
    <cellStyle name="40% - 강조색4 4" xfId="89" xr:uid="{00000000-0005-0000-0000-000027000000}"/>
    <cellStyle name="40% - 강조색5 2" xfId="23" xr:uid="{00000000-0005-0000-0000-000028000000}"/>
    <cellStyle name="40% - 강조색5 2 2" xfId="167" xr:uid="{00000000-0005-0000-0000-000029000000}"/>
    <cellStyle name="40% - 강조색5 3" xfId="90" xr:uid="{00000000-0005-0000-0000-00002A000000}"/>
    <cellStyle name="40% - 강조색5 4" xfId="91" xr:uid="{00000000-0005-0000-0000-00002B000000}"/>
    <cellStyle name="40% - 강조색6 2" xfId="24" xr:uid="{00000000-0005-0000-0000-00002C000000}"/>
    <cellStyle name="40% - 강조색6 2 2" xfId="168" xr:uid="{00000000-0005-0000-0000-00002D000000}"/>
    <cellStyle name="40% - 강조색6 3" xfId="92" xr:uid="{00000000-0005-0000-0000-00002E000000}"/>
    <cellStyle name="40% - 강조색6 4" xfId="93" xr:uid="{00000000-0005-0000-0000-00002F000000}"/>
    <cellStyle name="60% - 강조색1 2" xfId="25" xr:uid="{00000000-0005-0000-0000-000030000000}"/>
    <cellStyle name="60% - 강조색1 2 2" xfId="169" xr:uid="{00000000-0005-0000-0000-000031000000}"/>
    <cellStyle name="60% - 강조색1 3" xfId="94" xr:uid="{00000000-0005-0000-0000-000032000000}"/>
    <cellStyle name="60% - 강조색1 4" xfId="95" xr:uid="{00000000-0005-0000-0000-000033000000}"/>
    <cellStyle name="60% - 강조색2 2" xfId="26" xr:uid="{00000000-0005-0000-0000-000034000000}"/>
    <cellStyle name="60% - 강조색2 2 2" xfId="170" xr:uid="{00000000-0005-0000-0000-000035000000}"/>
    <cellStyle name="60% - 강조색2 3" xfId="96" xr:uid="{00000000-0005-0000-0000-000036000000}"/>
    <cellStyle name="60% - 강조색2 4" xfId="97" xr:uid="{00000000-0005-0000-0000-000037000000}"/>
    <cellStyle name="60% - 강조색3 2" xfId="27" xr:uid="{00000000-0005-0000-0000-000038000000}"/>
    <cellStyle name="60% - 강조색3 2 2" xfId="171" xr:uid="{00000000-0005-0000-0000-000039000000}"/>
    <cellStyle name="60% - 강조색3 3" xfId="98" xr:uid="{00000000-0005-0000-0000-00003A000000}"/>
    <cellStyle name="60% - 강조색3 4" xfId="99" xr:uid="{00000000-0005-0000-0000-00003B000000}"/>
    <cellStyle name="60% - 강조색4 2" xfId="28" xr:uid="{00000000-0005-0000-0000-00003C000000}"/>
    <cellStyle name="60% - 강조색4 2 2" xfId="172" xr:uid="{00000000-0005-0000-0000-00003D000000}"/>
    <cellStyle name="60% - 강조색4 3" xfId="100" xr:uid="{00000000-0005-0000-0000-00003E000000}"/>
    <cellStyle name="60% - 강조색4 4" xfId="101" xr:uid="{00000000-0005-0000-0000-00003F000000}"/>
    <cellStyle name="60% - 강조색5 2" xfId="29" xr:uid="{00000000-0005-0000-0000-000040000000}"/>
    <cellStyle name="60% - 강조색5 2 2" xfId="173" xr:uid="{00000000-0005-0000-0000-000041000000}"/>
    <cellStyle name="60% - 강조색5 3" xfId="102" xr:uid="{00000000-0005-0000-0000-000042000000}"/>
    <cellStyle name="60% - 강조색5 4" xfId="103" xr:uid="{00000000-0005-0000-0000-000043000000}"/>
    <cellStyle name="60% - 강조색6 2" xfId="30" xr:uid="{00000000-0005-0000-0000-000044000000}"/>
    <cellStyle name="60% - 강조색6 2 2" xfId="174" xr:uid="{00000000-0005-0000-0000-000045000000}"/>
    <cellStyle name="60% - 강조색6 3" xfId="104" xr:uid="{00000000-0005-0000-0000-000046000000}"/>
    <cellStyle name="60% - 강조색6 4" xfId="105" xr:uid="{00000000-0005-0000-0000-000047000000}"/>
    <cellStyle name="AeE­ [0]_INQUIRY ¿μ¾÷AßAø " xfId="151" xr:uid="{00000000-0005-0000-0000-000048000000}"/>
    <cellStyle name="AeE­_INQUIRY ¿μ¾÷AßAø " xfId="152" xr:uid="{00000000-0005-0000-0000-000049000000}"/>
    <cellStyle name="AÞ¸¶ [0]_INQUIRY ¿μ¾÷AßAø " xfId="153" xr:uid="{00000000-0005-0000-0000-00004A000000}"/>
    <cellStyle name="AÞ¸¶_INQUIRY ¿μ¾÷AßAø " xfId="154" xr:uid="{00000000-0005-0000-0000-00004B000000}"/>
    <cellStyle name="C￥AØ_¿μ¾÷CoE² " xfId="155" xr:uid="{00000000-0005-0000-0000-00004C000000}"/>
    <cellStyle name="Comma [0]_ SG&amp;A Bridge " xfId="59" xr:uid="{00000000-0005-0000-0000-00004D000000}"/>
    <cellStyle name="Comma_ SG&amp;A Bridge " xfId="60" xr:uid="{00000000-0005-0000-0000-00004E000000}"/>
    <cellStyle name="Currency [0]_ SG&amp;A Bridge " xfId="61" xr:uid="{00000000-0005-0000-0000-00004F000000}"/>
    <cellStyle name="Currency_ SG&amp;A Bridge " xfId="62" xr:uid="{00000000-0005-0000-0000-000050000000}"/>
    <cellStyle name="Grey" xfId="63" xr:uid="{00000000-0005-0000-0000-000051000000}"/>
    <cellStyle name="Header1" xfId="64" xr:uid="{00000000-0005-0000-0000-000052000000}"/>
    <cellStyle name="Header2" xfId="65" xr:uid="{00000000-0005-0000-0000-000053000000}"/>
    <cellStyle name="Input [yellow]" xfId="66" xr:uid="{00000000-0005-0000-0000-000054000000}"/>
    <cellStyle name="Normal - Style1" xfId="67" xr:uid="{00000000-0005-0000-0000-000055000000}"/>
    <cellStyle name="Normal - Style1 2" xfId="156" xr:uid="{00000000-0005-0000-0000-000056000000}"/>
    <cellStyle name="Normal_ SG&amp;A Bridge " xfId="68" xr:uid="{00000000-0005-0000-0000-000057000000}"/>
    <cellStyle name="Percent [2]" xfId="69" xr:uid="{00000000-0005-0000-0000-000058000000}"/>
    <cellStyle name="강조색1 2" xfId="31" xr:uid="{00000000-0005-0000-0000-000059000000}"/>
    <cellStyle name="강조색1 2 2" xfId="175" xr:uid="{00000000-0005-0000-0000-00005A000000}"/>
    <cellStyle name="강조색1 3" xfId="106" xr:uid="{00000000-0005-0000-0000-00005B000000}"/>
    <cellStyle name="강조색1 4" xfId="107" xr:uid="{00000000-0005-0000-0000-00005C000000}"/>
    <cellStyle name="강조색2 2" xfId="32" xr:uid="{00000000-0005-0000-0000-00005D000000}"/>
    <cellStyle name="강조색2 2 2" xfId="176" xr:uid="{00000000-0005-0000-0000-00005E000000}"/>
    <cellStyle name="강조색2 3" xfId="108" xr:uid="{00000000-0005-0000-0000-00005F000000}"/>
    <cellStyle name="강조색2 4" xfId="109" xr:uid="{00000000-0005-0000-0000-000060000000}"/>
    <cellStyle name="강조색3 2" xfId="33" xr:uid="{00000000-0005-0000-0000-000061000000}"/>
    <cellStyle name="강조색3 2 2" xfId="177" xr:uid="{00000000-0005-0000-0000-000062000000}"/>
    <cellStyle name="강조색3 3" xfId="110" xr:uid="{00000000-0005-0000-0000-000063000000}"/>
    <cellStyle name="강조색3 4" xfId="111" xr:uid="{00000000-0005-0000-0000-000064000000}"/>
    <cellStyle name="강조색4 2" xfId="34" xr:uid="{00000000-0005-0000-0000-000065000000}"/>
    <cellStyle name="강조색4 2 2" xfId="178" xr:uid="{00000000-0005-0000-0000-000066000000}"/>
    <cellStyle name="강조색4 3" xfId="112" xr:uid="{00000000-0005-0000-0000-000067000000}"/>
    <cellStyle name="강조색4 4" xfId="113" xr:uid="{00000000-0005-0000-0000-000068000000}"/>
    <cellStyle name="강조색5 2" xfId="35" xr:uid="{00000000-0005-0000-0000-000069000000}"/>
    <cellStyle name="강조색5 2 2" xfId="179" xr:uid="{00000000-0005-0000-0000-00006A000000}"/>
    <cellStyle name="강조색5 3" xfId="114" xr:uid="{00000000-0005-0000-0000-00006B000000}"/>
    <cellStyle name="강조색5 4" xfId="115" xr:uid="{00000000-0005-0000-0000-00006C000000}"/>
    <cellStyle name="강조색6 2" xfId="36" xr:uid="{00000000-0005-0000-0000-00006D000000}"/>
    <cellStyle name="강조색6 2 2" xfId="180" xr:uid="{00000000-0005-0000-0000-00006E000000}"/>
    <cellStyle name="강조색6 3" xfId="116" xr:uid="{00000000-0005-0000-0000-00006F000000}"/>
    <cellStyle name="강조색6 4" xfId="117" xr:uid="{00000000-0005-0000-0000-000070000000}"/>
    <cellStyle name="경고문 2" xfId="37" xr:uid="{00000000-0005-0000-0000-000071000000}"/>
    <cellStyle name="경고문 3" xfId="118" xr:uid="{00000000-0005-0000-0000-000072000000}"/>
    <cellStyle name="계산 2" xfId="38" xr:uid="{00000000-0005-0000-0000-000073000000}"/>
    <cellStyle name="계산 2 2" xfId="181" xr:uid="{00000000-0005-0000-0000-000074000000}"/>
    <cellStyle name="계산 3" xfId="119" xr:uid="{00000000-0005-0000-0000-000075000000}"/>
    <cellStyle name="계산 4" xfId="120" xr:uid="{00000000-0005-0000-0000-000076000000}"/>
    <cellStyle name="나쁨" xfId="373" builtinId="27"/>
    <cellStyle name="나쁨 2" xfId="39" xr:uid="{00000000-0005-0000-0000-000077000000}"/>
    <cellStyle name="나쁨 2 2" xfId="182" xr:uid="{00000000-0005-0000-0000-000078000000}"/>
    <cellStyle name="나쁨 3" xfId="121" xr:uid="{00000000-0005-0000-0000-000079000000}"/>
    <cellStyle name="나쁨 4" xfId="122" xr:uid="{00000000-0005-0000-0000-00007A000000}"/>
    <cellStyle name="메모 2" xfId="40" xr:uid="{00000000-0005-0000-0000-00007B000000}"/>
    <cellStyle name="메모 2 2" xfId="183" xr:uid="{00000000-0005-0000-0000-00007C000000}"/>
    <cellStyle name="메모 3" xfId="123" xr:uid="{00000000-0005-0000-0000-00007D000000}"/>
    <cellStyle name="메모 4" xfId="124" xr:uid="{00000000-0005-0000-0000-00007E000000}"/>
    <cellStyle name="백분율 2" xfId="125" xr:uid="{00000000-0005-0000-0000-00007F000000}"/>
    <cellStyle name="보통 2" xfId="41" xr:uid="{00000000-0005-0000-0000-000080000000}"/>
    <cellStyle name="보통 2 2" xfId="184" xr:uid="{00000000-0005-0000-0000-000081000000}"/>
    <cellStyle name="보통 3" xfId="126" xr:uid="{00000000-0005-0000-0000-000082000000}"/>
    <cellStyle name="보통 4" xfId="127" xr:uid="{00000000-0005-0000-0000-000083000000}"/>
    <cellStyle name="뷭?_BOOKSHIP" xfId="54" xr:uid="{00000000-0005-0000-0000-000084000000}"/>
    <cellStyle name="설명 텍스트 2" xfId="42" xr:uid="{00000000-0005-0000-0000-000085000000}"/>
    <cellStyle name="설명 텍스트 3" xfId="128" xr:uid="{00000000-0005-0000-0000-000086000000}"/>
    <cellStyle name="셀 확인 2" xfId="43" xr:uid="{00000000-0005-0000-0000-000087000000}"/>
    <cellStyle name="셀 확인 2 2" xfId="185" xr:uid="{00000000-0005-0000-0000-000088000000}"/>
    <cellStyle name="셀 확인 3" xfId="129" xr:uid="{00000000-0005-0000-0000-000089000000}"/>
    <cellStyle name="셀 확인 4" xfId="130" xr:uid="{00000000-0005-0000-0000-00008A000000}"/>
    <cellStyle name="쉼표 [0]" xfId="1" builtinId="6"/>
    <cellStyle name="쉼표 [0] 10" xfId="4" xr:uid="{00000000-0005-0000-0000-00008C000000}"/>
    <cellStyle name="쉼표 [0] 10 2" xfId="5" xr:uid="{00000000-0005-0000-0000-00008D000000}"/>
    <cellStyle name="쉼표 [0] 10 2 2" xfId="361" xr:uid="{00000000-0005-0000-0000-00008E000000}"/>
    <cellStyle name="쉼표 [0] 10 2 2 2" xfId="367" xr:uid="{21C27556-B4C3-4B42-9343-B134FE527923}"/>
    <cellStyle name="쉼표 [0] 10 2 2 2 2" xfId="364" xr:uid="{00000000-0005-0000-0000-00008F000000}"/>
    <cellStyle name="쉼표 [0] 10 2 3" xfId="368" xr:uid="{98649636-2D20-45AB-976B-7568476E7266}"/>
    <cellStyle name="쉼표 [0] 10 3" xfId="289" xr:uid="{00000000-0005-0000-0000-000090000000}"/>
    <cellStyle name="쉼표 [0] 10 3 10" xfId="353" xr:uid="{00000000-0005-0000-0000-000091000000}"/>
    <cellStyle name="쉼표 [0] 10 3 10 2 3" xfId="357" xr:uid="{00000000-0005-0000-0000-000092000000}"/>
    <cellStyle name="쉼표 [0] 10 3 10 2 3 3" xfId="358" xr:uid="{00000000-0005-0000-0000-000093000000}"/>
    <cellStyle name="쉼표 [0] 10 3 10 3" xfId="356" xr:uid="{00000000-0005-0000-0000-000094000000}"/>
    <cellStyle name="쉼표 [0] 10 3 10 3 2" xfId="359" xr:uid="{00000000-0005-0000-0000-000095000000}"/>
    <cellStyle name="쉼표 [0] 10 3 2" xfId="355" xr:uid="{00000000-0005-0000-0000-000096000000}"/>
    <cellStyle name="쉼표 [0] 10 3 3" xfId="360" xr:uid="{00000000-0005-0000-0000-000097000000}"/>
    <cellStyle name="쉼표 [0] 10 4" xfId="366" xr:uid="{0FB0D41C-8804-4228-A308-BBC807D8B99F}"/>
    <cellStyle name="쉼표 [0] 11" xfId="309" xr:uid="{00000000-0005-0000-0000-000098000000}"/>
    <cellStyle name="쉼표 [0] 12" xfId="354" xr:uid="{00000000-0005-0000-0000-000099000000}"/>
    <cellStyle name="쉼표 [0] 2" xfId="3" xr:uid="{00000000-0005-0000-0000-00009A000000}"/>
    <cellStyle name="쉼표 [0] 2 10" xfId="270" xr:uid="{00000000-0005-0000-0000-00009B000000}"/>
    <cellStyle name="쉼표 [0] 2 11" xfId="290" xr:uid="{00000000-0005-0000-0000-00009C000000}"/>
    <cellStyle name="쉼표 [0] 2 12" xfId="310" xr:uid="{00000000-0005-0000-0000-00009D000000}"/>
    <cellStyle name="쉼표 [0] 2 13" xfId="55" xr:uid="{00000000-0005-0000-0000-00009E000000}"/>
    <cellStyle name="쉼표 [0] 2 2" xfId="56" xr:uid="{00000000-0005-0000-0000-00009F000000}"/>
    <cellStyle name="쉼표 [0] 2 3" xfId="7" xr:uid="{00000000-0005-0000-0000-0000A0000000}"/>
    <cellStyle name="쉼표 [0] 2 3 2" xfId="8" xr:uid="{00000000-0005-0000-0000-0000A1000000}"/>
    <cellStyle name="쉼표 [0] 2 3 3" xfId="131" xr:uid="{00000000-0005-0000-0000-0000A2000000}"/>
    <cellStyle name="쉼표 [0] 2 4" xfId="132" xr:uid="{00000000-0005-0000-0000-0000A3000000}"/>
    <cellStyle name="쉼표 [0] 2 4 10" xfId="351" xr:uid="{00000000-0005-0000-0000-0000A4000000}"/>
    <cellStyle name="쉼표 [0] 2 4 2" xfId="191" xr:uid="{00000000-0005-0000-0000-0000A5000000}"/>
    <cellStyle name="쉼표 [0] 2 4 2 2" xfId="201" xr:uid="{00000000-0005-0000-0000-0000A6000000}"/>
    <cellStyle name="쉼표 [0] 2 4 2 2 2" xfId="224" xr:uid="{00000000-0005-0000-0000-0000A7000000}"/>
    <cellStyle name="쉼표 [0] 2 4 2 2 2 2" xfId="266" xr:uid="{00000000-0005-0000-0000-0000A8000000}"/>
    <cellStyle name="쉼표 [0] 2 4 2 2 2 3" xfId="346" xr:uid="{00000000-0005-0000-0000-0000A9000000}"/>
    <cellStyle name="쉼표 [0] 2 4 2 2 3" xfId="246" xr:uid="{00000000-0005-0000-0000-0000AA000000}"/>
    <cellStyle name="쉼표 [0] 2 4 2 2 4" xfId="286" xr:uid="{00000000-0005-0000-0000-0000AB000000}"/>
    <cellStyle name="쉼표 [0] 2 4 2 2 5" xfId="306" xr:uid="{00000000-0005-0000-0000-0000AC000000}"/>
    <cellStyle name="쉼표 [0] 2 4 2 2 6" xfId="326" xr:uid="{00000000-0005-0000-0000-0000AD000000}"/>
    <cellStyle name="쉼표 [0] 2 4 2 3" xfId="214" xr:uid="{00000000-0005-0000-0000-0000AE000000}"/>
    <cellStyle name="쉼표 [0] 2 4 2 3 2" xfId="256" xr:uid="{00000000-0005-0000-0000-0000AF000000}"/>
    <cellStyle name="쉼표 [0] 2 4 2 3 3" xfId="336" xr:uid="{00000000-0005-0000-0000-0000B0000000}"/>
    <cellStyle name="쉼표 [0] 2 4 2 4" xfId="236" xr:uid="{00000000-0005-0000-0000-0000B1000000}"/>
    <cellStyle name="쉼표 [0] 2 4 2 5" xfId="276" xr:uid="{00000000-0005-0000-0000-0000B2000000}"/>
    <cellStyle name="쉼표 [0] 2 4 2 6" xfId="296" xr:uid="{00000000-0005-0000-0000-0000B3000000}"/>
    <cellStyle name="쉼표 [0] 2 4 2 7" xfId="316" xr:uid="{00000000-0005-0000-0000-0000B4000000}"/>
    <cellStyle name="쉼표 [0] 2 4 3" xfId="196" xr:uid="{00000000-0005-0000-0000-0000B5000000}"/>
    <cellStyle name="쉼표 [0] 2 4 3 2" xfId="219" xr:uid="{00000000-0005-0000-0000-0000B6000000}"/>
    <cellStyle name="쉼표 [0] 2 4 3 2 2" xfId="261" xr:uid="{00000000-0005-0000-0000-0000B7000000}"/>
    <cellStyle name="쉼표 [0] 2 4 3 2 3" xfId="341" xr:uid="{00000000-0005-0000-0000-0000B8000000}"/>
    <cellStyle name="쉼표 [0] 2 4 3 3" xfId="241" xr:uid="{00000000-0005-0000-0000-0000B9000000}"/>
    <cellStyle name="쉼표 [0] 2 4 3 4" xfId="281" xr:uid="{00000000-0005-0000-0000-0000BA000000}"/>
    <cellStyle name="쉼표 [0] 2 4 3 5" xfId="301" xr:uid="{00000000-0005-0000-0000-0000BB000000}"/>
    <cellStyle name="쉼표 [0] 2 4 3 6" xfId="321" xr:uid="{00000000-0005-0000-0000-0000BC000000}"/>
    <cellStyle name="쉼표 [0] 2 4 4" xfId="209" xr:uid="{00000000-0005-0000-0000-0000BD000000}"/>
    <cellStyle name="쉼표 [0] 2 4 4 2" xfId="251" xr:uid="{00000000-0005-0000-0000-0000BE000000}"/>
    <cellStyle name="쉼표 [0] 2 4 4 3" xfId="331" xr:uid="{00000000-0005-0000-0000-0000BF000000}"/>
    <cellStyle name="쉼표 [0] 2 4 5" xfId="231" xr:uid="{00000000-0005-0000-0000-0000C0000000}"/>
    <cellStyle name="쉼표 [0] 2 4 6" xfId="271" xr:uid="{00000000-0005-0000-0000-0000C1000000}"/>
    <cellStyle name="쉼표 [0] 2 4 7" xfId="291" xr:uid="{00000000-0005-0000-0000-0000C2000000}"/>
    <cellStyle name="쉼표 [0] 2 4 8" xfId="311" xr:uid="{00000000-0005-0000-0000-0000C3000000}"/>
    <cellStyle name="쉼표 [0] 2 5" xfId="133" xr:uid="{00000000-0005-0000-0000-0000C4000000}"/>
    <cellStyle name="쉼표 [0] 2 6" xfId="190" xr:uid="{00000000-0005-0000-0000-0000C5000000}"/>
    <cellStyle name="쉼표 [0] 2 6 2" xfId="200" xr:uid="{00000000-0005-0000-0000-0000C6000000}"/>
    <cellStyle name="쉼표 [0] 2 6 2 2" xfId="223" xr:uid="{00000000-0005-0000-0000-0000C7000000}"/>
    <cellStyle name="쉼표 [0] 2 6 2 2 2" xfId="265" xr:uid="{00000000-0005-0000-0000-0000C8000000}"/>
    <cellStyle name="쉼표 [0] 2 6 2 2 3" xfId="345" xr:uid="{00000000-0005-0000-0000-0000C9000000}"/>
    <cellStyle name="쉼표 [0] 2 6 2 3" xfId="245" xr:uid="{00000000-0005-0000-0000-0000CA000000}"/>
    <cellStyle name="쉼표 [0] 2 6 2 4" xfId="285" xr:uid="{00000000-0005-0000-0000-0000CB000000}"/>
    <cellStyle name="쉼표 [0] 2 6 2 5" xfId="305" xr:uid="{00000000-0005-0000-0000-0000CC000000}"/>
    <cellStyle name="쉼표 [0] 2 6 2 6" xfId="325" xr:uid="{00000000-0005-0000-0000-0000CD000000}"/>
    <cellStyle name="쉼표 [0] 2 6 3" xfId="213" xr:uid="{00000000-0005-0000-0000-0000CE000000}"/>
    <cellStyle name="쉼표 [0] 2 6 3 2" xfId="255" xr:uid="{00000000-0005-0000-0000-0000CF000000}"/>
    <cellStyle name="쉼표 [0] 2 6 3 3" xfId="335" xr:uid="{00000000-0005-0000-0000-0000D0000000}"/>
    <cellStyle name="쉼표 [0] 2 6 4" xfId="235" xr:uid="{00000000-0005-0000-0000-0000D1000000}"/>
    <cellStyle name="쉼표 [0] 2 6 5" xfId="275" xr:uid="{00000000-0005-0000-0000-0000D2000000}"/>
    <cellStyle name="쉼표 [0] 2 6 6" xfId="295" xr:uid="{00000000-0005-0000-0000-0000D3000000}"/>
    <cellStyle name="쉼표 [0] 2 6 7" xfId="315" xr:uid="{00000000-0005-0000-0000-0000D4000000}"/>
    <cellStyle name="쉼표 [0] 2 7" xfId="195" xr:uid="{00000000-0005-0000-0000-0000D5000000}"/>
    <cellStyle name="쉼표 [0] 2 7 2" xfId="218" xr:uid="{00000000-0005-0000-0000-0000D6000000}"/>
    <cellStyle name="쉼표 [0] 2 7 2 2" xfId="260" xr:uid="{00000000-0005-0000-0000-0000D7000000}"/>
    <cellStyle name="쉼표 [0] 2 7 2 3" xfId="340" xr:uid="{00000000-0005-0000-0000-0000D8000000}"/>
    <cellStyle name="쉼표 [0] 2 7 3" xfId="240" xr:uid="{00000000-0005-0000-0000-0000D9000000}"/>
    <cellStyle name="쉼표 [0] 2 7 4" xfId="280" xr:uid="{00000000-0005-0000-0000-0000DA000000}"/>
    <cellStyle name="쉼표 [0] 2 7 5" xfId="300" xr:uid="{00000000-0005-0000-0000-0000DB000000}"/>
    <cellStyle name="쉼표 [0] 2 7 6" xfId="320" xr:uid="{00000000-0005-0000-0000-0000DC000000}"/>
    <cellStyle name="쉼표 [0] 2 8" xfId="208" xr:uid="{00000000-0005-0000-0000-0000DD000000}"/>
    <cellStyle name="쉼표 [0] 2 8 2" xfId="250" xr:uid="{00000000-0005-0000-0000-0000DE000000}"/>
    <cellStyle name="쉼표 [0] 2 8 3" xfId="330" xr:uid="{00000000-0005-0000-0000-0000DF000000}"/>
    <cellStyle name="쉼표 [0] 2 9" xfId="230" xr:uid="{00000000-0005-0000-0000-0000E0000000}"/>
    <cellStyle name="쉼표 [0] 3" xfId="9" xr:uid="{00000000-0005-0000-0000-0000E1000000}"/>
    <cellStyle name="쉼표 [0] 3 10" xfId="134" xr:uid="{00000000-0005-0000-0000-0000E2000000}"/>
    <cellStyle name="쉼표 [0] 3 11" xfId="376" xr:uid="{05B3693E-2073-451F-BC5C-6A44DFBC7AA2}"/>
    <cellStyle name="쉼표 [0] 3 2" xfId="192" xr:uid="{00000000-0005-0000-0000-0000E3000000}"/>
    <cellStyle name="쉼표 [0] 3 2 2" xfId="202" xr:uid="{00000000-0005-0000-0000-0000E4000000}"/>
    <cellStyle name="쉼표 [0] 3 2 2 2" xfId="225" xr:uid="{00000000-0005-0000-0000-0000E5000000}"/>
    <cellStyle name="쉼표 [0] 3 2 2 2 2" xfId="267" xr:uid="{00000000-0005-0000-0000-0000E6000000}"/>
    <cellStyle name="쉼표 [0] 3 2 2 2 3" xfId="347" xr:uid="{00000000-0005-0000-0000-0000E7000000}"/>
    <cellStyle name="쉼표 [0] 3 2 2 3" xfId="247" xr:uid="{00000000-0005-0000-0000-0000E8000000}"/>
    <cellStyle name="쉼표 [0] 3 2 2 4" xfId="287" xr:uid="{00000000-0005-0000-0000-0000E9000000}"/>
    <cellStyle name="쉼표 [0] 3 2 2 5" xfId="307" xr:uid="{00000000-0005-0000-0000-0000EA000000}"/>
    <cellStyle name="쉼표 [0] 3 2 2 6" xfId="327" xr:uid="{00000000-0005-0000-0000-0000EB000000}"/>
    <cellStyle name="쉼표 [0] 3 2 3" xfId="215" xr:uid="{00000000-0005-0000-0000-0000EC000000}"/>
    <cellStyle name="쉼표 [0] 3 2 3 2" xfId="257" xr:uid="{00000000-0005-0000-0000-0000ED000000}"/>
    <cellStyle name="쉼표 [0] 3 2 3 3" xfId="337" xr:uid="{00000000-0005-0000-0000-0000EE000000}"/>
    <cellStyle name="쉼표 [0] 3 2 4" xfId="237" xr:uid="{00000000-0005-0000-0000-0000EF000000}"/>
    <cellStyle name="쉼표 [0] 3 2 5" xfId="277" xr:uid="{00000000-0005-0000-0000-0000F0000000}"/>
    <cellStyle name="쉼표 [0] 3 2 6" xfId="297" xr:uid="{00000000-0005-0000-0000-0000F1000000}"/>
    <cellStyle name="쉼표 [0] 3 2 7" xfId="317" xr:uid="{00000000-0005-0000-0000-0000F2000000}"/>
    <cellStyle name="쉼표 [0] 3 3" xfId="197" xr:uid="{00000000-0005-0000-0000-0000F3000000}"/>
    <cellStyle name="쉼표 [0] 3 3 2" xfId="220" xr:uid="{00000000-0005-0000-0000-0000F4000000}"/>
    <cellStyle name="쉼표 [0] 3 3 2 2" xfId="262" xr:uid="{00000000-0005-0000-0000-0000F5000000}"/>
    <cellStyle name="쉼표 [0] 3 3 2 3" xfId="342" xr:uid="{00000000-0005-0000-0000-0000F6000000}"/>
    <cellStyle name="쉼표 [0] 3 3 3" xfId="242" xr:uid="{00000000-0005-0000-0000-0000F7000000}"/>
    <cellStyle name="쉼표 [0] 3 3 4" xfId="282" xr:uid="{00000000-0005-0000-0000-0000F8000000}"/>
    <cellStyle name="쉼표 [0] 3 3 5" xfId="302" xr:uid="{00000000-0005-0000-0000-0000F9000000}"/>
    <cellStyle name="쉼표 [0] 3 3 6" xfId="322" xr:uid="{00000000-0005-0000-0000-0000FA000000}"/>
    <cellStyle name="쉼표 [0] 3 4" xfId="210" xr:uid="{00000000-0005-0000-0000-0000FB000000}"/>
    <cellStyle name="쉼표 [0] 3 4 2" xfId="252" xr:uid="{00000000-0005-0000-0000-0000FC000000}"/>
    <cellStyle name="쉼표 [0] 3 4 3" xfId="332" xr:uid="{00000000-0005-0000-0000-0000FD000000}"/>
    <cellStyle name="쉼표 [0] 3 5" xfId="228" xr:uid="{00000000-0005-0000-0000-0000FE000000}"/>
    <cellStyle name="쉼표 [0] 3 6" xfId="232" xr:uid="{00000000-0005-0000-0000-0000FF000000}"/>
    <cellStyle name="쉼표 [0] 3 7" xfId="272" xr:uid="{00000000-0005-0000-0000-000000010000}"/>
    <cellStyle name="쉼표 [0] 3 8" xfId="292" xr:uid="{00000000-0005-0000-0000-000001010000}"/>
    <cellStyle name="쉼표 [0] 3 9" xfId="312" xr:uid="{00000000-0005-0000-0000-000002010000}"/>
    <cellStyle name="쉼표 [0] 4" xfId="11" xr:uid="{00000000-0005-0000-0000-000003010000}"/>
    <cellStyle name="쉼표 [0] 4 2" xfId="193" xr:uid="{00000000-0005-0000-0000-000004010000}"/>
    <cellStyle name="쉼표 [0] 4 2 2" xfId="203" xr:uid="{00000000-0005-0000-0000-000005010000}"/>
    <cellStyle name="쉼표 [0] 4 2 2 2" xfId="226" xr:uid="{00000000-0005-0000-0000-000006010000}"/>
    <cellStyle name="쉼표 [0] 4 2 2 2 2" xfId="268" xr:uid="{00000000-0005-0000-0000-000007010000}"/>
    <cellStyle name="쉼표 [0] 4 2 2 2 3" xfId="348" xr:uid="{00000000-0005-0000-0000-000008010000}"/>
    <cellStyle name="쉼표 [0] 4 2 2 3" xfId="248" xr:uid="{00000000-0005-0000-0000-000009010000}"/>
    <cellStyle name="쉼표 [0] 4 2 2 4" xfId="288" xr:uid="{00000000-0005-0000-0000-00000A010000}"/>
    <cellStyle name="쉼표 [0] 4 2 2 5" xfId="308" xr:uid="{00000000-0005-0000-0000-00000B010000}"/>
    <cellStyle name="쉼표 [0] 4 2 2 6" xfId="328" xr:uid="{00000000-0005-0000-0000-00000C010000}"/>
    <cellStyle name="쉼표 [0] 4 2 3" xfId="216" xr:uid="{00000000-0005-0000-0000-00000D010000}"/>
    <cellStyle name="쉼표 [0] 4 2 3 2" xfId="258" xr:uid="{00000000-0005-0000-0000-00000E010000}"/>
    <cellStyle name="쉼표 [0] 4 2 3 3" xfId="338" xr:uid="{00000000-0005-0000-0000-00000F010000}"/>
    <cellStyle name="쉼표 [0] 4 2 4" xfId="238" xr:uid="{00000000-0005-0000-0000-000010010000}"/>
    <cellStyle name="쉼표 [0] 4 2 5" xfId="278" xr:uid="{00000000-0005-0000-0000-000011010000}"/>
    <cellStyle name="쉼표 [0] 4 2 6" xfId="298" xr:uid="{00000000-0005-0000-0000-000012010000}"/>
    <cellStyle name="쉼표 [0] 4 2 7" xfId="318" xr:uid="{00000000-0005-0000-0000-000013010000}"/>
    <cellStyle name="쉼표 [0] 4 3" xfId="198" xr:uid="{00000000-0005-0000-0000-000014010000}"/>
    <cellStyle name="쉼표 [0] 4 3 2" xfId="221" xr:uid="{00000000-0005-0000-0000-000015010000}"/>
    <cellStyle name="쉼표 [0] 4 3 2 2" xfId="263" xr:uid="{00000000-0005-0000-0000-000016010000}"/>
    <cellStyle name="쉼표 [0] 4 3 2 3" xfId="343" xr:uid="{00000000-0005-0000-0000-000017010000}"/>
    <cellStyle name="쉼표 [0] 4 3 3" xfId="243" xr:uid="{00000000-0005-0000-0000-000018010000}"/>
    <cellStyle name="쉼표 [0] 4 3 4" xfId="283" xr:uid="{00000000-0005-0000-0000-000019010000}"/>
    <cellStyle name="쉼표 [0] 4 3 5" xfId="303" xr:uid="{00000000-0005-0000-0000-00001A010000}"/>
    <cellStyle name="쉼표 [0] 4 3 6" xfId="323" xr:uid="{00000000-0005-0000-0000-00001B010000}"/>
    <cellStyle name="쉼표 [0] 4 4" xfId="211" xr:uid="{00000000-0005-0000-0000-00001C010000}"/>
    <cellStyle name="쉼표 [0] 4 4 2" xfId="253" xr:uid="{00000000-0005-0000-0000-00001D010000}"/>
    <cellStyle name="쉼표 [0] 4 4 3" xfId="333" xr:uid="{00000000-0005-0000-0000-00001E010000}"/>
    <cellStyle name="쉼표 [0] 4 5" xfId="233" xr:uid="{00000000-0005-0000-0000-00001F010000}"/>
    <cellStyle name="쉼표 [0] 4 6" xfId="273" xr:uid="{00000000-0005-0000-0000-000020010000}"/>
    <cellStyle name="쉼표 [0] 4 7" xfId="293" xr:uid="{00000000-0005-0000-0000-000021010000}"/>
    <cellStyle name="쉼표 [0] 4 8" xfId="313" xr:uid="{00000000-0005-0000-0000-000022010000}"/>
    <cellStyle name="쉼표 [0] 4 9" xfId="189" xr:uid="{00000000-0005-0000-0000-000023010000}"/>
    <cellStyle name="쉼표 [0] 5" xfId="12" xr:uid="{00000000-0005-0000-0000-000024010000}"/>
    <cellStyle name="쉼표 [0] 5 2" xfId="199" xr:uid="{00000000-0005-0000-0000-000025010000}"/>
    <cellStyle name="쉼표 [0] 5 2 2" xfId="222" xr:uid="{00000000-0005-0000-0000-000026010000}"/>
    <cellStyle name="쉼표 [0] 5 2 2 2" xfId="264" xr:uid="{00000000-0005-0000-0000-000027010000}"/>
    <cellStyle name="쉼표 [0] 5 2 2 3" xfId="344" xr:uid="{00000000-0005-0000-0000-000028010000}"/>
    <cellStyle name="쉼표 [0] 5 2 3" xfId="244" xr:uid="{00000000-0005-0000-0000-000029010000}"/>
    <cellStyle name="쉼표 [0] 5 2 4" xfId="284" xr:uid="{00000000-0005-0000-0000-00002A010000}"/>
    <cellStyle name="쉼표 [0] 5 2 5" xfId="304" xr:uid="{00000000-0005-0000-0000-00002B010000}"/>
    <cellStyle name="쉼표 [0] 5 2 6" xfId="324" xr:uid="{00000000-0005-0000-0000-00002C010000}"/>
    <cellStyle name="쉼표 [0] 5 3" xfId="212" xr:uid="{00000000-0005-0000-0000-00002D010000}"/>
    <cellStyle name="쉼표 [0] 5 3 2" xfId="254" xr:uid="{00000000-0005-0000-0000-00002E010000}"/>
    <cellStyle name="쉼표 [0] 5 3 3" xfId="334" xr:uid="{00000000-0005-0000-0000-00002F010000}"/>
    <cellStyle name="쉼표 [0] 5 4" xfId="234" xr:uid="{00000000-0005-0000-0000-000030010000}"/>
    <cellStyle name="쉼표 [0] 5 5" xfId="274" xr:uid="{00000000-0005-0000-0000-000031010000}"/>
    <cellStyle name="쉼표 [0] 5 6" xfId="294" xr:uid="{00000000-0005-0000-0000-000032010000}"/>
    <cellStyle name="쉼표 [0] 5 7" xfId="314" xr:uid="{00000000-0005-0000-0000-000033010000}"/>
    <cellStyle name="쉼표 [0] 6" xfId="194" xr:uid="{00000000-0005-0000-0000-000034010000}"/>
    <cellStyle name="쉼표 [0] 6 2" xfId="217" xr:uid="{00000000-0005-0000-0000-000035010000}"/>
    <cellStyle name="쉼표 [0] 6 2 2" xfId="259" xr:uid="{00000000-0005-0000-0000-000036010000}"/>
    <cellStyle name="쉼표 [0] 6 2 3" xfId="339" xr:uid="{00000000-0005-0000-0000-000037010000}"/>
    <cellStyle name="쉼표 [0] 6 3" xfId="227" xr:uid="{00000000-0005-0000-0000-000038010000}"/>
    <cellStyle name="쉼표 [0] 6 4" xfId="239" xr:uid="{00000000-0005-0000-0000-000039010000}"/>
    <cellStyle name="쉼표 [0] 6 5" xfId="279" xr:uid="{00000000-0005-0000-0000-00003A010000}"/>
    <cellStyle name="쉼표 [0] 6 6" xfId="299" xr:uid="{00000000-0005-0000-0000-00003B010000}"/>
    <cellStyle name="쉼표 [0] 6 7" xfId="319" xr:uid="{00000000-0005-0000-0000-00003C010000}"/>
    <cellStyle name="쉼표 [0] 7" xfId="207" xr:uid="{00000000-0005-0000-0000-00003D010000}"/>
    <cellStyle name="쉼표 [0] 7 2" xfId="249" xr:uid="{00000000-0005-0000-0000-00003E010000}"/>
    <cellStyle name="쉼표 [0] 7 3" xfId="329" xr:uid="{00000000-0005-0000-0000-00003F010000}"/>
    <cellStyle name="쉼표 [0] 8" xfId="229" xr:uid="{00000000-0005-0000-0000-000040010000}"/>
    <cellStyle name="쉼표 [0] 9" xfId="269" xr:uid="{00000000-0005-0000-0000-000041010000}"/>
    <cellStyle name="연결된 셀 2" xfId="44" xr:uid="{00000000-0005-0000-0000-000042010000}"/>
    <cellStyle name="연결된 셀 3" xfId="135" xr:uid="{00000000-0005-0000-0000-000043010000}"/>
    <cellStyle name="요약 2" xfId="45" xr:uid="{00000000-0005-0000-0000-000044010000}"/>
    <cellStyle name="요약 3" xfId="136" xr:uid="{00000000-0005-0000-0000-000045010000}"/>
    <cellStyle name="입력 2" xfId="46" xr:uid="{00000000-0005-0000-0000-000046010000}"/>
    <cellStyle name="입력 2 2" xfId="186" xr:uid="{00000000-0005-0000-0000-000047010000}"/>
    <cellStyle name="입력 3" xfId="137" xr:uid="{00000000-0005-0000-0000-000048010000}"/>
    <cellStyle name="입력 4" xfId="138" xr:uid="{00000000-0005-0000-0000-000049010000}"/>
    <cellStyle name="제목 1 2" xfId="47" xr:uid="{00000000-0005-0000-0000-00004A010000}"/>
    <cellStyle name="제목 1 3" xfId="139" xr:uid="{00000000-0005-0000-0000-00004B010000}"/>
    <cellStyle name="제목 2 2" xfId="48" xr:uid="{00000000-0005-0000-0000-00004C010000}"/>
    <cellStyle name="제목 2 3" xfId="140" xr:uid="{00000000-0005-0000-0000-00004D010000}"/>
    <cellStyle name="제목 3 2" xfId="49" xr:uid="{00000000-0005-0000-0000-00004E010000}"/>
    <cellStyle name="제목 3 3" xfId="141" xr:uid="{00000000-0005-0000-0000-00004F010000}"/>
    <cellStyle name="제목 4 2" xfId="50" xr:uid="{00000000-0005-0000-0000-000050010000}"/>
    <cellStyle name="제목 4 3" xfId="142" xr:uid="{00000000-0005-0000-0000-000051010000}"/>
    <cellStyle name="제목 5" xfId="51" xr:uid="{00000000-0005-0000-0000-000052010000}"/>
    <cellStyle name="제목 6" xfId="143" xr:uid="{00000000-0005-0000-0000-000053010000}"/>
    <cellStyle name="좋음 2" xfId="52" xr:uid="{00000000-0005-0000-0000-000054010000}"/>
    <cellStyle name="좋음 2 2" xfId="187" xr:uid="{00000000-0005-0000-0000-000055010000}"/>
    <cellStyle name="좋음 3" xfId="144" xr:uid="{00000000-0005-0000-0000-000056010000}"/>
    <cellStyle name="좋음 4" xfId="145" xr:uid="{00000000-0005-0000-0000-000057010000}"/>
    <cellStyle name="출력 2" xfId="53" xr:uid="{00000000-0005-0000-0000-000058010000}"/>
    <cellStyle name="출력 2 2" xfId="188" xr:uid="{00000000-0005-0000-0000-000059010000}"/>
    <cellStyle name="출력 3" xfId="146" xr:uid="{00000000-0005-0000-0000-00005A010000}"/>
    <cellStyle name="출력 4" xfId="147" xr:uid="{00000000-0005-0000-0000-00005B010000}"/>
    <cellStyle name="콤마 [0]_1202" xfId="57" xr:uid="{00000000-0005-0000-0000-00005C010000}"/>
    <cellStyle name="콤마_1202" xfId="58" xr:uid="{00000000-0005-0000-0000-00005D010000}"/>
    <cellStyle name="표준" xfId="0" builtinId="0"/>
    <cellStyle name="표준 17" xfId="349" xr:uid="{00000000-0005-0000-0000-00005F010000}"/>
    <cellStyle name="표준 2" xfId="2" xr:uid="{00000000-0005-0000-0000-000060010000}"/>
    <cellStyle name="표준 2 2" xfId="6" xr:uid="{00000000-0005-0000-0000-000061010000}"/>
    <cellStyle name="표준 2 3" xfId="352" xr:uid="{00000000-0005-0000-0000-000062010000}"/>
    <cellStyle name="표준 2 3 2" xfId="371" xr:uid="{14EA40C7-DD27-49AF-BA02-11C9AF7C6E24}"/>
    <cellStyle name="표준 2 3 2 2" xfId="372" xr:uid="{DDA80C17-C277-4637-A7FF-47594CCA6725}"/>
    <cellStyle name="표준 2 3 2 2 2" xfId="374" xr:uid="{3907E38F-7430-4423-B5A1-5D9EDF46535E}"/>
    <cellStyle name="표준 2 3 3" xfId="365" xr:uid="{85163D15-7CC1-4D08-B457-3B294565CDDB}"/>
    <cellStyle name="표준 2 3 4" xfId="375" xr:uid="{0048C86B-FF34-4BBB-9E78-6589E969578D}"/>
    <cellStyle name="표준 2 6 2" xfId="362" xr:uid="{00000000-0005-0000-0000-000063010000}"/>
    <cellStyle name="표준 2 6 2 2" xfId="369" xr:uid="{B5DACAE4-57F4-4879-B789-C01F4CD2E836}"/>
    <cellStyle name="표준 2 6 2 3" xfId="370" xr:uid="{6AE0770C-65D9-4751-B758-00E1713440C4}"/>
    <cellStyle name="표준 20 2" xfId="363" xr:uid="{00000000-0005-0000-0000-000064010000}"/>
    <cellStyle name="표준 3" xfId="10" xr:uid="{00000000-0005-0000-0000-000065010000}"/>
    <cellStyle name="표준 3 2" xfId="148" xr:uid="{00000000-0005-0000-0000-000066010000}"/>
    <cellStyle name="표준 3 8" xfId="204" xr:uid="{00000000-0005-0000-0000-000067010000}"/>
    <cellStyle name="표준 4 8" xfId="205" xr:uid="{00000000-0005-0000-0000-000068010000}"/>
    <cellStyle name="표준 4 8 2" xfId="350" xr:uid="{00000000-0005-0000-0000-000069010000}"/>
    <cellStyle name="표준 5" xfId="149" xr:uid="{00000000-0005-0000-0000-00006A010000}"/>
    <cellStyle name="표준 5 2 2" xfId="206" xr:uid="{00000000-0005-0000-0000-00006B010000}"/>
    <cellStyle name="표준 6" xfId="150" xr:uid="{00000000-0005-0000-0000-00006C010000}"/>
  </cellStyles>
  <dxfs count="38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</dxfs>
  <tableStyles count="0" defaultTableStyle="TableStyleMedium2" defaultPivotStyle="PivotStyleLight16"/>
  <colors>
    <mruColors>
      <color rgb="FFFFCCFF"/>
      <color rgb="FF5A34FC"/>
      <color rgb="FFFFFF99"/>
      <color rgb="FF0000CC"/>
      <color rgb="FF0000FF"/>
      <color rgb="FFF1A9A9"/>
      <color rgb="FFBF95DF"/>
      <color rgb="FFFFFFCC"/>
      <color rgb="FF3399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260489</xdr:colOff>
      <xdr:row>7</xdr:row>
      <xdr:rowOff>469903</xdr:rowOff>
    </xdr:from>
    <xdr:to>
      <xdr:col>9</xdr:col>
      <xdr:colOff>77857</xdr:colOff>
      <xdr:row>10</xdr:row>
      <xdr:rowOff>349251</xdr:rowOff>
    </xdr:to>
    <xdr:pic>
      <xdr:nvPicPr>
        <xdr:cNvPr id="2" name="_x3912712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2641" y="4155664"/>
          <a:ext cx="1879738" cy="13950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Z478"/>
  <sheetViews>
    <sheetView view="pageBreakPreview" zoomScale="115" zoomScaleNormal="100" zoomScaleSheetLayoutView="115" workbookViewId="0">
      <selection activeCell="O6" sqref="O6"/>
    </sheetView>
  </sheetViews>
  <sheetFormatPr defaultRowHeight="30" customHeight="1"/>
  <cols>
    <col min="1" max="1" width="7.625" customWidth="1"/>
    <col min="6" max="7" width="0" hidden="1" customWidth="1"/>
    <col min="11" max="11" width="20.125" customWidth="1"/>
    <col min="17" max="18" width="20" customWidth="1"/>
    <col min="20" max="20" width="40.625" customWidth="1"/>
  </cols>
  <sheetData>
    <row r="1" spans="1:26" ht="39.950000000000003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P1" s="63"/>
    </row>
    <row r="2" spans="1:26" ht="39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65"/>
      <c r="T2" s="553"/>
      <c r="U2" t="s">
        <v>114</v>
      </c>
      <c r="Z2" s="135" t="s">
        <v>114</v>
      </c>
    </row>
    <row r="3" spans="1:26" ht="24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T3" s="553"/>
    </row>
    <row r="4" spans="1:26" ht="46.5" customHeight="1">
      <c r="A4" s="554" t="s">
        <v>1635</v>
      </c>
      <c r="B4" s="554"/>
      <c r="C4" s="554"/>
      <c r="D4" s="554"/>
      <c r="E4" s="554"/>
      <c r="F4" s="554"/>
      <c r="G4" s="554"/>
      <c r="H4" s="554"/>
      <c r="I4" s="554"/>
      <c r="J4" s="554"/>
      <c r="K4" s="554"/>
      <c r="L4" s="554"/>
      <c r="M4" s="554"/>
    </row>
    <row r="5" spans="1:26" s="3" customFormat="1" ht="60" customHeight="1">
      <c r="A5" s="555" t="s">
        <v>300</v>
      </c>
      <c r="B5" s="556"/>
      <c r="C5" s="556"/>
      <c r="D5" s="556"/>
      <c r="E5" s="556"/>
      <c r="F5" s="556"/>
      <c r="G5" s="556"/>
      <c r="H5" s="556"/>
      <c r="I5" s="556"/>
      <c r="J5" s="556"/>
      <c r="K5" s="556"/>
      <c r="L5" s="556"/>
      <c r="M5" s="556"/>
    </row>
    <row r="6" spans="1:26" ht="39.950000000000003" customHeight="1">
      <c r="A6" s="557"/>
      <c r="B6" s="557"/>
      <c r="C6" s="557"/>
      <c r="D6" s="557"/>
      <c r="E6" s="557"/>
      <c r="F6" s="557"/>
      <c r="G6" s="557"/>
      <c r="H6" s="557"/>
      <c r="I6" s="557"/>
      <c r="J6" s="557"/>
      <c r="K6" s="557"/>
      <c r="L6" s="557"/>
      <c r="M6" s="557"/>
    </row>
    <row r="7" spans="1:26" ht="39.950000000000003" customHeight="1">
      <c r="A7" s="2"/>
      <c r="C7" s="24"/>
      <c r="D7" s="2"/>
      <c r="E7" s="2"/>
      <c r="G7" s="2"/>
      <c r="H7" s="2"/>
      <c r="I7" s="2"/>
      <c r="J7" s="2"/>
      <c r="K7" s="2"/>
      <c r="L7" s="2"/>
      <c r="M7" s="2"/>
    </row>
    <row r="8" spans="1:26" ht="39.950000000000003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26" ht="39.950000000000003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6" ht="39.950000000000003" customHeight="1">
      <c r="A10" s="2"/>
      <c r="B10" s="2"/>
      <c r="C10" s="2"/>
      <c r="D10" s="2"/>
      <c r="E10" s="2"/>
      <c r="F10" s="2"/>
      <c r="G10" s="2"/>
      <c r="H10" s="2"/>
      <c r="I10" s="2" t="s">
        <v>191</v>
      </c>
      <c r="J10" s="2"/>
      <c r="K10" s="2"/>
      <c r="L10" s="2"/>
      <c r="M10" s="2"/>
    </row>
    <row r="11" spans="1:26" ht="39.950000000000003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6" ht="39.950000000000003" customHeight="1">
      <c r="A12" s="2"/>
      <c r="B12" s="2"/>
      <c r="C12" s="2"/>
      <c r="D12" s="2"/>
      <c r="E12" s="2"/>
      <c r="F12" s="2"/>
      <c r="G12" s="2"/>
      <c r="H12" s="2"/>
      <c r="I12" s="2" t="s">
        <v>191</v>
      </c>
      <c r="J12" s="2"/>
      <c r="K12" s="2"/>
      <c r="L12" s="2"/>
      <c r="M12" s="2"/>
    </row>
    <row r="13" spans="1:26" ht="39.950000000000003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26" ht="39.950000000000003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26" ht="39.950000000000003" customHeight="1">
      <c r="A15" s="558" t="s">
        <v>246</v>
      </c>
      <c r="B15" s="558"/>
      <c r="C15" s="558"/>
      <c r="D15" s="558"/>
      <c r="E15" s="558"/>
      <c r="F15" s="558"/>
      <c r="G15" s="558"/>
      <c r="H15" s="558"/>
      <c r="I15" s="558"/>
      <c r="J15" s="558"/>
      <c r="K15" s="558"/>
      <c r="L15" s="558"/>
      <c r="M15" s="558"/>
    </row>
    <row r="19" ht="36" customHeight="1"/>
    <row r="475" spans="21:21" ht="30" customHeight="1">
      <c r="U475" s="62"/>
    </row>
    <row r="476" spans="21:21" ht="30" customHeight="1">
      <c r="U476" s="62"/>
    </row>
    <row r="477" spans="21:21" ht="30" customHeight="1">
      <c r="U477" s="62"/>
    </row>
    <row r="478" spans="21:21" ht="30" customHeight="1">
      <c r="U478" s="62"/>
    </row>
  </sheetData>
  <mergeCells count="5">
    <mergeCell ref="T2:T3"/>
    <mergeCell ref="A4:M4"/>
    <mergeCell ref="A5:M5"/>
    <mergeCell ref="A6:M6"/>
    <mergeCell ref="A15:M15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U484"/>
  <sheetViews>
    <sheetView view="pageBreakPreview" topLeftCell="A4" zoomScale="85" zoomScaleNormal="100" zoomScaleSheetLayoutView="85" workbookViewId="0">
      <selection activeCell="F17" sqref="F17"/>
    </sheetView>
  </sheetViews>
  <sheetFormatPr defaultRowHeight="20.100000000000001" customHeight="1"/>
  <cols>
    <col min="1" max="1" width="26.25" customWidth="1"/>
    <col min="2" max="2" width="19.75" customWidth="1"/>
    <col min="3" max="3" width="18" customWidth="1"/>
    <col min="4" max="4" width="19.25" customWidth="1"/>
    <col min="5" max="5" width="18.125" customWidth="1"/>
    <col min="6" max="6" width="20.25" bestFit="1" customWidth="1"/>
    <col min="7" max="7" width="16.375" customWidth="1"/>
    <col min="8" max="9" width="19.625" customWidth="1"/>
    <col min="10" max="10" width="3.625" style="5" customWidth="1"/>
    <col min="11" max="15" width="15.625" customWidth="1"/>
    <col min="20" max="20" width="40.625" customWidth="1"/>
  </cols>
  <sheetData>
    <row r="1" spans="1:20" ht="9" customHeight="1" thickBot="1"/>
    <row r="2" spans="1:20" ht="39.950000000000003" customHeight="1" thickBot="1">
      <c r="A2" s="559" t="s">
        <v>245</v>
      </c>
      <c r="B2" s="560"/>
      <c r="C2" s="560"/>
      <c r="D2" s="560"/>
      <c r="E2" s="560"/>
      <c r="F2" s="560"/>
      <c r="G2" s="560"/>
      <c r="H2" s="560"/>
      <c r="I2" s="561"/>
      <c r="J2" s="14"/>
    </row>
    <row r="3" spans="1:20" ht="16.5" customHeight="1">
      <c r="A3" s="66"/>
      <c r="B3" s="66"/>
      <c r="C3" s="66"/>
      <c r="D3" s="66"/>
      <c r="E3" s="66"/>
      <c r="F3" s="66"/>
      <c r="G3" s="66"/>
      <c r="H3" s="66"/>
      <c r="I3" s="66"/>
      <c r="J3" s="14"/>
    </row>
    <row r="4" spans="1:20" ht="30" customHeight="1">
      <c r="A4" s="103" t="s">
        <v>248</v>
      </c>
    </row>
    <row r="5" spans="1:20" ht="15" customHeight="1">
      <c r="C5" s="7"/>
      <c r="D5" s="7"/>
      <c r="E5" s="7"/>
      <c r="F5" s="9"/>
      <c r="G5" s="11"/>
      <c r="H5" s="7"/>
      <c r="I5" s="4" t="s">
        <v>131</v>
      </c>
      <c r="J5" s="15"/>
      <c r="T5" s="553"/>
    </row>
    <row r="6" spans="1:20" ht="24.95" customHeight="1" thickBot="1">
      <c r="A6" s="564" t="s">
        <v>132</v>
      </c>
      <c r="B6" s="564" t="s">
        <v>133</v>
      </c>
      <c r="C6" s="564" t="s">
        <v>134</v>
      </c>
      <c r="D6" s="564"/>
      <c r="E6" s="566"/>
      <c r="F6" s="564" t="s">
        <v>135</v>
      </c>
      <c r="G6" s="564"/>
      <c r="H6" s="566"/>
      <c r="I6" s="564" t="s">
        <v>136</v>
      </c>
      <c r="J6" s="10"/>
      <c r="K6" s="6" t="s">
        <v>295</v>
      </c>
      <c r="L6" s="17"/>
      <c r="M6" s="17"/>
      <c r="N6" s="17"/>
      <c r="O6" s="17"/>
      <c r="T6" s="553"/>
    </row>
    <row r="7" spans="1:20" ht="24.95" customHeight="1">
      <c r="A7" s="564"/>
      <c r="B7" s="564"/>
      <c r="C7" s="454" t="s">
        <v>141</v>
      </c>
      <c r="D7" s="82" t="s">
        <v>294</v>
      </c>
      <c r="E7" s="83" t="s">
        <v>183</v>
      </c>
      <c r="F7" s="455" t="s">
        <v>141</v>
      </c>
      <c r="G7" s="82" t="s">
        <v>142</v>
      </c>
      <c r="H7" s="83" t="s">
        <v>293</v>
      </c>
      <c r="I7" s="565"/>
      <c r="J7" s="10"/>
      <c r="K7" s="111" t="s">
        <v>292</v>
      </c>
      <c r="L7" s="111" t="s">
        <v>146</v>
      </c>
      <c r="M7" s="111" t="s">
        <v>147</v>
      </c>
      <c r="N7" s="111" t="s">
        <v>145</v>
      </c>
      <c r="O7" s="111" t="s">
        <v>897</v>
      </c>
    </row>
    <row r="8" spans="1:20" ht="30" customHeight="1">
      <c r="A8" s="84" t="s">
        <v>247</v>
      </c>
      <c r="B8" s="85">
        <f t="shared" ref="B8:I8" si="0">SUM(B9:B19)</f>
        <v>42242001864</v>
      </c>
      <c r="C8" s="85">
        <f t="shared" si="0"/>
        <v>0</v>
      </c>
      <c r="D8" s="86">
        <f t="shared" si="0"/>
        <v>450250</v>
      </c>
      <c r="E8" s="87">
        <f t="shared" si="0"/>
        <v>450250</v>
      </c>
      <c r="F8" s="88">
        <f t="shared" si="0"/>
        <v>0</v>
      </c>
      <c r="G8" s="86">
        <f t="shared" si="0"/>
        <v>3588632</v>
      </c>
      <c r="H8" s="87">
        <f t="shared" si="0"/>
        <v>3588632</v>
      </c>
      <c r="I8" s="88">
        <f t="shared" si="0"/>
        <v>42245590496</v>
      </c>
      <c r="J8" s="16"/>
      <c r="K8" s="110" t="s">
        <v>247</v>
      </c>
      <c r="L8" s="109">
        <f>SUM(L9:L10)</f>
        <v>450250</v>
      </c>
      <c r="M8" s="109">
        <f>SUM(M9:M10)</f>
        <v>3588632</v>
      </c>
      <c r="N8" s="114">
        <f>L8-M8</f>
        <v>-3138382</v>
      </c>
      <c r="O8" s="113"/>
    </row>
    <row r="9" spans="1:20" ht="33" customHeight="1">
      <c r="A9" s="100" t="s">
        <v>137</v>
      </c>
      <c r="B9" s="101">
        <f t="shared" ref="B9:B17" si="1">B33</f>
        <v>129702008</v>
      </c>
      <c r="C9" s="101">
        <f>SUMIFS('3. 일입'!$N$7:$N$1831,'3. 일입'!$B$7:$B$1831, $A9, '3. 일입'!$N$7:$N$1831, "&lt;"&amp;0)+SUMIFS('4. 특입'!$N$6:$N$1994,'4. 특입'!$B$6:$B$1994,$A9, '4. 특입'!$N$6:$N$1994,  "&lt;"&amp;0)+SUMIFS('4-1. 공특입'!$O$6:$O$1992,'4-1. 공특입'!$B$6:$B$1992,$A9, '4-1. 공특입'!$O$6:$O$1992,  "&lt;"&amp;0)</f>
        <v>0</v>
      </c>
      <c r="D9" s="458">
        <f>SUMIFS('3. 일입'!$N$7:$N$1831,'3. 일입'!$B$7:$B$1831, $A9, '3. 일입'!$N$7:$N$1831, "&gt;"&amp;0)+SUMIFS('4. 특입'!$N$6:$N$1994,'4. 특입'!$B$6:$B$1994,$A9, '4. 특입'!$N$6:$N$1994,  "&gt;"&amp;0)+SUMIFS('4-1. 공특입'!$O$6:$O$1992,'4-1. 공특입'!$B$6:$B$1992,$A9, '4-1. 공특입'!$O$6:$O$1992,  "&gt;"&amp;0)</f>
        <v>0</v>
      </c>
      <c r="E9" s="299">
        <f>C9+D9</f>
        <v>0</v>
      </c>
      <c r="F9" s="459">
        <f>SUMIFS('3. 일출(자체)'!$P$6:$P$1826,'3. 일출(자체)'!$B$6:$B$1826, $A9, '3. 일출(자체)'!$P$6:$P$1826, "&lt;"&amp;0)+SUMIFS('3. 일출(의존)'!$P$6:P$1829,'3. 일출(의존)'!$B$6:$B$1829, $A9, '3. 일출(의존)'!$P$6:$P$1829, "&lt;"&amp;0)+SUMIFS('4. 특출'!$P$5:$P$1991,'4. 특출'!$B$5:$B$1991, $A9, '4. 특출'!$P$5:$P$1991, "&lt;"&amp;0)+SUMIFS('4-1. 공특출'!$P$5:$P$1992,'4-1. 공특출'!$B$5:$B$1992, $A9, '4-1. 공특출'!$P$5:$P$1992, "&lt;"&amp;0)</f>
        <v>0</v>
      </c>
      <c r="G9" s="458">
        <f>SUMIFS('3. 일출(자체)'!$P$6:$P$1826,'3. 일출(자체)'!$B$6:$B$1826, $A9, '3. 일출(자체)'!$P$6:$P$1826, "&gt;"&amp;0)+SUMIFS('3. 일출(의존)'!$P$6:$P$1829,'3. 일출(의존)'!$B$6:$B$1829, $A9, '3. 일출(의존)'!$P$6:$P$1829, "&gt;"&amp;0)+SUMIFS('4. 특출'!$P$5:$P$1991,'4. 특출'!$B$5:$B$1991, $A9, '4. 특출'!$P$5:$P$1991, "&gt;"&amp;0)+SUMIFS('4-1. 공특출'!$P$5:$P$1992,'4-1. 공특출'!$B$5:$B$1992, $A9, '4-1. 공특출'!$P$5:$P$1992, "&gt;"&amp;0)</f>
        <v>0</v>
      </c>
      <c r="H9" s="90">
        <f t="shared" ref="H9:H19" si="2">G9+F9</f>
        <v>0</v>
      </c>
      <c r="I9" s="91">
        <f t="shared" ref="I9:I19" si="3">B9+F9+G9</f>
        <v>129702008</v>
      </c>
      <c r="J9" s="16"/>
      <c r="K9" s="112" t="s">
        <v>279</v>
      </c>
      <c r="L9" s="106">
        <f>SUM(C26:D26)</f>
        <v>450250</v>
      </c>
      <c r="M9" s="106">
        <f>SUM(F26:G26)</f>
        <v>3588632</v>
      </c>
      <c r="N9" s="106">
        <f>L9-M9</f>
        <v>-3138382</v>
      </c>
      <c r="O9" s="562" t="s">
        <v>261</v>
      </c>
    </row>
    <row r="10" spans="1:20" ht="33" customHeight="1">
      <c r="A10" s="92" t="s">
        <v>238</v>
      </c>
      <c r="B10" s="93">
        <f t="shared" si="1"/>
        <v>5932148107</v>
      </c>
      <c r="C10" s="93">
        <f>SUMIFS('3. 일입'!$N$7:$N$1831,'3. 일입'!$B$7:$B$1831, $A10, '3. 일입'!$N$7:$N$1831, "&lt;"&amp;0)+SUMIFS('4. 특입'!$N$6:$N$1994,'4. 특입'!$B$6:$B$1994,$A10, '4. 특입'!$N$6:$N$1994,  "&lt;"&amp;0)+SUMIFS('4-1. 공특입'!$O$6:$O$1992,'4-1. 공특입'!$B$6:$B$1992,$A10, '4-1. 공특입'!$O$6:$O$1992,  "&lt;"&amp;0)</f>
        <v>0</v>
      </c>
      <c r="D10" s="94">
        <f>SUMIFS('3. 일입'!$N$7:$N$1831,'3. 일입'!$B$7:$B$1831, $A10, '3. 일입'!$N$7:$N$1831, "&gt;"&amp;0)+SUMIFS('4. 특입'!$N$6:$N$1994,'4. 특입'!$B$6:$B$1994,$A10, '4. 특입'!$N$6:$N$1994,  "&gt;"&amp;0)+SUMIFS('4-1. 공특입'!$O$6:$O$1992,'4-1. 공특입'!$B$6:$B$1992,$A10, '4-1. 공특입'!$O$6:$O$1992,  "&gt;"&amp;0)</f>
        <v>0</v>
      </c>
      <c r="E10" s="95">
        <f>C10+D10</f>
        <v>0</v>
      </c>
      <c r="F10" s="460">
        <f>SUMIFS('3. 일출(자체)'!$P$6:$P$1826,'3. 일출(자체)'!$B$6:$B$1826, $A10, '3. 일출(자체)'!$P$6:$P$1826, "&lt;"&amp;0)+SUMIFS('3. 일출(의존)'!$P$6:P$1829,'3. 일출(의존)'!$B$6:$B$1829, $A10, '3. 일출(의존)'!$P$6:$P$1829, "&lt;"&amp;0)+SUMIFS('4. 특출'!$P$5:$P$1991,'4. 특출'!$B$5:$B$1991, $A10, '4. 특출'!$P$5:$P$1991, "&lt;"&amp;0)+SUMIFS('4-1. 공특출'!$P$5:$P$1992,'4-1. 공특출'!$B$5:$B$1992, $A10, '4-1. 공특출'!$P$5:$P$1992, "&lt;"&amp;0)</f>
        <v>0</v>
      </c>
      <c r="G10" s="94">
        <f>SUMIFS('3. 일출(자체)'!$P$6:$P$1826,'3. 일출(자체)'!$B$6:$B$1826, $A10, '3. 일출(자체)'!$P$6:$P$1826, "&gt;"&amp;0)+SUMIFS('3. 일출(의존)'!$P$6:$P$1829,'3. 일출(의존)'!$B$6:$B$1829, $A10, '3. 일출(의존)'!$P$6:$P$1829, "&gt;"&amp;0)+SUMIFS('4. 특출'!$P$5:$P$1991,'4. 특출'!$B$5:$B$1991, $A10, '4. 특출'!$P$5:$P$1991, "&gt;"&amp;0)+SUMIFS('4-1. 공특출'!$P$5:$P$1992,'4-1. 공특출'!$B$5:$B$1992, $A10, '4-1. 공특출'!$P$5:$P$1992, "&gt;"&amp;0)</f>
        <v>0</v>
      </c>
      <c r="H10" s="95">
        <f t="shared" si="2"/>
        <v>0</v>
      </c>
      <c r="I10" s="96">
        <f t="shared" si="3"/>
        <v>5932148107</v>
      </c>
      <c r="J10" s="16"/>
      <c r="K10" s="112" t="s">
        <v>291</v>
      </c>
      <c r="L10" s="106">
        <f>SUM(C27:D27)</f>
        <v>0</v>
      </c>
      <c r="M10" s="106">
        <f>SUM(F27:G27)</f>
        <v>0</v>
      </c>
      <c r="N10" s="106">
        <f>L10-M10</f>
        <v>0</v>
      </c>
      <c r="O10" s="563"/>
    </row>
    <row r="11" spans="1:20" ht="33" customHeight="1">
      <c r="A11" s="92" t="s">
        <v>239</v>
      </c>
      <c r="B11" s="93">
        <f t="shared" si="1"/>
        <v>474872242</v>
      </c>
      <c r="C11" s="93">
        <f>SUMIFS('3. 일입'!$N$7:$N$1831,'3. 일입'!$B$7:$B$1831, $A11, '3. 일입'!$N$7:$N$1831, "&lt;"&amp;0)+SUMIFS('4. 특입'!$N$6:$N$1994,'4. 특입'!$B$6:$B$1994,$A11, '4. 특입'!$N$6:$N$1994,  "&lt;"&amp;0)+SUMIFS('4-1. 공특입'!$O$6:$O$1992,'4-1. 공특입'!$B$6:$B$1992,$A11, '4-1. 공특입'!$O$6:$O$1992,  "&lt;"&amp;0)</f>
        <v>0</v>
      </c>
      <c r="D11" s="94">
        <f>SUMIFS('3. 일입'!$N$7:$N$1831,'3. 일입'!$B$7:$B$1831, $A11, '3. 일입'!$N$7:$N$1831, "&gt;"&amp;0)+SUMIFS('4. 특입'!$N$6:$N$1994,'4. 특입'!$B$6:$B$1994,$A11, '4. 특입'!$N$6:$N$1994,  "&gt;"&amp;0)+SUMIFS('4-1. 공특입'!$O$6:$O$1992,'4-1. 공특입'!$B$6:$B$1992,$A11, '4-1. 공특입'!$O$6:$O$1992,  "&gt;"&amp;0)</f>
        <v>0</v>
      </c>
      <c r="E11" s="95">
        <f>C11+D11</f>
        <v>0</v>
      </c>
      <c r="F11" s="460">
        <f>SUMIFS('3. 일출(자체)'!$P$6:$P$1826,'3. 일출(자체)'!$B$6:$B$1826, $A11, '3. 일출(자체)'!$P$6:$P$1826, "&lt;"&amp;0)+SUMIFS('3. 일출(의존)'!$P$6:P$1829,'3. 일출(의존)'!$B$6:$B$1829, $A11, '3. 일출(의존)'!$P$6:$P$1829, "&lt;"&amp;0)+SUMIFS('4. 특출'!$P$5:$P$1991,'4. 특출'!$B$5:$B$1991, $A11, '4. 특출'!$P$5:$P$1991, "&lt;"&amp;0)+SUMIFS('4-1. 공특출'!$P$5:$P$1992,'4-1. 공특출'!$B$5:$B$1992, $A11, '4-1. 공특출'!$P$5:$P$1992, "&lt;"&amp;0)</f>
        <v>0</v>
      </c>
      <c r="G11" s="94">
        <f>SUMIFS('3. 일출(자체)'!$P$6:$P$1826,'3. 일출(자체)'!$B$6:$B$1826, $A11, '3. 일출(자체)'!$P$6:$P$1826, "&gt;"&amp;0)+SUMIFS('3. 일출(의존)'!$P$6:$P$1829,'3. 일출(의존)'!$B$6:$B$1829, $A11, '3. 일출(의존)'!$P$6:$P$1829, "&gt;"&amp;0)+SUMIFS('4. 특출'!$P$5:$P$1991,'4. 특출'!$B$5:$B$1991, $A11, '4. 특출'!$P$5:$P$1991, "&gt;"&amp;0)+SUMIFS('4-1. 공특출'!$P$5:$P$1992,'4-1. 공특출'!$B$5:$B$1992, $A11, '4-1. 공특출'!$P$5:$P$1992, "&gt;"&amp;0)</f>
        <v>0</v>
      </c>
      <c r="H11" s="95">
        <f t="shared" si="2"/>
        <v>0</v>
      </c>
      <c r="I11" s="96">
        <f t="shared" si="3"/>
        <v>474872242</v>
      </c>
      <c r="J11" s="16"/>
      <c r="N11" s="25"/>
      <c r="O11" t="s">
        <v>896</v>
      </c>
    </row>
    <row r="12" spans="1:20" ht="33" customHeight="1">
      <c r="A12" s="92" t="s">
        <v>276</v>
      </c>
      <c r="B12" s="93">
        <f t="shared" si="1"/>
        <v>4269846310</v>
      </c>
      <c r="C12" s="93">
        <f>SUMIFS('3. 일입'!$N$7:$N$1831,'3. 일입'!$B$7:$B$1831, $A12, '3. 일입'!$N$7:$N$1831, "&lt;"&amp;0)+SUMIFS('4. 특입'!$N$6:$N$1994,'4. 특입'!$B$6:$B$1994,$A12, '4. 특입'!$N$6:$N$1994,  "&lt;"&amp;0)+SUMIFS('4-1. 공특입'!$O$6:$O$1992,'4-1. 공특입'!$B$6:$B$1992,$A12, '4-1. 공특입'!$O$6:$O$1992,  "&lt;"&amp;0)</f>
        <v>0</v>
      </c>
      <c r="D12" s="94">
        <f>SUMIFS('3. 일입'!$N$7:$N$1831,'3. 일입'!$B$7:$B$1831, $A12, '3. 일입'!$N$7:$N$1831, "&gt;"&amp;0)+SUMIFS('4. 특입'!$N$6:$N$1994,'4. 특입'!$B$6:$B$1994,$A12, '4. 특입'!$N$6:$N$1994,  "&gt;"&amp;0)+SUMIFS('4-1. 공특입'!$O$6:$O$1992,'4-1. 공특입'!$B$6:$B$1992,$A12, '4-1. 공특입'!$O$6:$O$1992,  "&gt;"&amp;0)</f>
        <v>0</v>
      </c>
      <c r="E12" s="95">
        <f>C12+D12</f>
        <v>0</v>
      </c>
      <c r="F12" s="460">
        <f>SUMIFS('3. 일출(자체)'!$P$6:$P$1826,'3. 일출(자체)'!$B$6:$B$1826, $A12, '3. 일출(자체)'!$P$6:$P$1826, "&lt;"&amp;0)+SUMIFS('3. 일출(의존)'!$P$6:P$1829,'3. 일출(의존)'!$B$6:$B$1829, $A12, '3. 일출(의존)'!$P$6:$P$1829, "&lt;"&amp;0)+SUMIFS('4. 특출'!$P$5:$P$1991,'4. 특출'!$B$5:$B$1991, $A12, '4. 특출'!$P$5:$P$1991, "&lt;"&amp;0)+SUMIFS('4-1. 공특출'!$P$5:$P$1992,'4-1. 공특출'!$B$5:$B$1992, $A12, '4-1. 공특출'!$P$5:$P$1992, "&lt;"&amp;0)</f>
        <v>0</v>
      </c>
      <c r="G12" s="94">
        <f>SUMIFS('3. 일출(자체)'!$P$6:$P$1826,'3. 일출(자체)'!$B$6:$B$1826, $A12, '3. 일출(자체)'!$P$6:$P$1826, "&gt;"&amp;0)+SUMIFS('3. 일출(의존)'!$P$6:$P$1829,'3. 일출(의존)'!$B$6:$B$1829, $A12, '3. 일출(의존)'!$P$6:$P$1829, "&gt;"&amp;0)+SUMIFS('4. 특출'!$P$5:$P$1991,'4. 특출'!$B$5:$B$1991, $A12, '4. 특출'!$P$5:$P$1991, "&gt;"&amp;0)+SUMIFS('4-1. 공특출'!$P$5:$P$1992,'4-1. 공특출'!$B$5:$B$1992, $A12, '4-1. 공특출'!$P$5:$P$1992, "&gt;"&amp;0)</f>
        <v>0</v>
      </c>
      <c r="H12" s="95">
        <f t="shared" si="2"/>
        <v>0</v>
      </c>
      <c r="I12" s="96">
        <f t="shared" si="3"/>
        <v>4269846310</v>
      </c>
      <c r="J12" s="16"/>
      <c r="N12" s="25"/>
    </row>
    <row r="13" spans="1:20" ht="33" customHeight="1">
      <c r="A13" s="92" t="s">
        <v>290</v>
      </c>
      <c r="B13" s="93">
        <f t="shared" si="1"/>
        <v>554871567</v>
      </c>
      <c r="C13" s="93">
        <f>SUMIFS('3. 일입'!$N$7:$N$1831,'3. 일입'!$B$7:$B$1831, $A13, '3. 일입'!$N$7:$N$1831, "&lt;"&amp;0)+SUMIFS('4. 특입'!$N$6:$N$1994,'4. 특입'!$B$6:$B$1994,$A13, '4. 특입'!$N$6:$N$1994,  "&lt;"&amp;0)+SUMIFS('4-1. 공특입'!$O$6:$O$1992,'4-1. 공특입'!$B$6:$B$1992,$A13, '4-1. 공특입'!$O$6:$O$1992,  "&lt;"&amp;0)</f>
        <v>0</v>
      </c>
      <c r="D13" s="94">
        <f>SUMIFS('3. 일입'!$N$7:$N$1831,'3. 일입'!$B$7:$B$1831, $A13, '3. 일입'!$N$7:$N$1831, "&gt;"&amp;0)+SUMIFS('4. 특입'!$N$6:$N$1994,'4. 특입'!$B$6:$B$1994,$A13, '4. 특입'!$N$6:$N$1994,  "&gt;"&amp;0)+SUMIFS('4-1. 공특입'!$O$6:$O$1992,'4-1. 공특입'!$B$6:$B$1992,$A13, '4-1. 공특입'!$O$6:$O$1992,  "&gt;"&amp;0)</f>
        <v>0</v>
      </c>
      <c r="E13" s="95">
        <f t="shared" ref="E13:E19" si="4">C13+D13</f>
        <v>0</v>
      </c>
      <c r="F13" s="460">
        <f>SUMIFS('3. 일출(자체)'!$P$6:$P$1826,'3. 일출(자체)'!$B$6:$B$1826, $A13, '3. 일출(자체)'!$P$6:$P$1826, "&lt;"&amp;0)+SUMIFS('3. 일출(의존)'!$P$6:P$1829,'3. 일출(의존)'!$B$6:$B$1829, $A13, '3. 일출(의존)'!$P$6:$P$1829, "&lt;"&amp;0)+SUMIFS('4. 특출'!$P$5:$P$1991,'4. 특출'!$B$5:$B$1991, $A13, '4. 특출'!$P$5:$P$1991, "&lt;"&amp;0)+SUMIFS('4-1. 공특출'!$P$5:$P$1992,'4-1. 공특출'!$B$5:$B$1992, $A13, '4-1. 공특출'!$P$5:$P$1992, "&lt;"&amp;0)</f>
        <v>0</v>
      </c>
      <c r="G13" s="94">
        <f>SUMIFS('3. 일출(자체)'!$P$6:$P$1826,'3. 일출(자체)'!$B$6:$B$1826, $A13, '3. 일출(자체)'!$P$6:$P$1826, "&gt;"&amp;0)+SUMIFS('3. 일출(의존)'!$P$6:$P$1829,'3. 일출(의존)'!$B$6:$B$1829, $A13, '3. 일출(의존)'!$P$6:$P$1829, "&gt;"&amp;0)+SUMIFS('4. 특출'!$P$5:$P$1991,'4. 특출'!$B$5:$B$1991, $A13, '4. 특출'!$P$5:$P$1991, "&gt;"&amp;0)+SUMIFS('4-1. 공특출'!$P$5:$P$1992,'4-1. 공특출'!$B$5:$B$1992, $A13, '4-1. 공특출'!$P$5:$P$1992, "&gt;"&amp;0)</f>
        <v>0</v>
      </c>
      <c r="H13" s="95">
        <f t="shared" si="2"/>
        <v>0</v>
      </c>
      <c r="I13" s="96">
        <f t="shared" si="3"/>
        <v>554871567</v>
      </c>
      <c r="J13" s="16"/>
    </row>
    <row r="14" spans="1:20" ht="33" customHeight="1">
      <c r="A14" s="92" t="s">
        <v>139</v>
      </c>
      <c r="B14" s="93">
        <f t="shared" si="1"/>
        <v>1195877261</v>
      </c>
      <c r="C14" s="93">
        <f>SUMIFS('3. 일입'!$N$7:$N$1831,'3. 일입'!$B$7:$B$1831, $A14, '3. 일입'!$N$7:$N$1831, "&lt;"&amp;0)+SUMIFS('4. 특입'!$N$6:$N$1994,'4. 특입'!$B$6:$B$1994,$A14, '4. 특입'!$N$6:$N$1994,  "&lt;"&amp;0)+SUMIFS('4-1. 공특입'!$O$6:$O$1992,'4-1. 공특입'!$B$6:$B$1992,$A14, '4-1. 공특입'!$O$6:$O$1992,  "&lt;"&amp;0)</f>
        <v>0</v>
      </c>
      <c r="D14" s="94">
        <f>SUMIFS('3. 일입'!$N$7:$N$1831,'3. 일입'!$B$7:$B$1831, $A14, '3. 일입'!$N$7:$N$1831, "&gt;"&amp;0)+SUMIFS('4. 특입'!$N$6:$N$1994,'4. 특입'!$B$6:$B$1994,$A14, '4. 특입'!$N$6:$N$1994,  "&gt;"&amp;0)+SUMIFS('4-1. 공특입'!$O$6:$O$1992,'4-1. 공특입'!$B$6:$B$1992,$A14, '4-1. 공특입'!$O$6:$O$1992,  "&gt;"&amp;0)</f>
        <v>0</v>
      </c>
      <c r="E14" s="95">
        <f t="shared" si="4"/>
        <v>0</v>
      </c>
      <c r="F14" s="460">
        <f>SUMIFS('3. 일출(자체)'!$P$6:$P$1826,'3. 일출(자체)'!$B$6:$B$1826, $A14, '3. 일출(자체)'!$P$6:$P$1826, "&lt;"&amp;0)+SUMIFS('3. 일출(의존)'!$P$6:P$1829,'3. 일출(의존)'!$B$6:$B$1829, $A14, '3. 일출(의존)'!$P$6:$P$1829, "&lt;"&amp;0)+SUMIFS('4. 특출'!$P$5:$P$1991,'4. 특출'!$B$5:$B$1991, $A14, '4. 특출'!$P$5:$P$1991, "&lt;"&amp;0)+SUMIFS('4-1. 공특출'!$P$5:$P$1992,'4-1. 공특출'!$B$5:$B$1992, $A14, '4-1. 공특출'!$P$5:$P$1992, "&lt;"&amp;0)</f>
        <v>0</v>
      </c>
      <c r="G14" s="94">
        <f>SUMIFS('3. 일출(자체)'!$P$6:$P$1826,'3. 일출(자체)'!$B$6:$B$1826, $A14, '3. 일출(자체)'!$P$6:$P$1826, "&gt;"&amp;0)+SUMIFS('3. 일출(의존)'!$P$6:$P$1829,'3. 일출(의존)'!$B$6:$B$1829, $A14, '3. 일출(의존)'!$P$6:$P$1829, "&gt;"&amp;0)+SUMIFS('4. 특출'!$P$5:$P$1991,'4. 특출'!$B$5:$B$1991, $A14, '4. 특출'!$P$5:$P$1991, "&gt;"&amp;0)+SUMIFS('4-1. 공특출'!$P$5:$P$1992,'4-1. 공특출'!$B$5:$B$1992, $A14, '4-1. 공특출'!$P$5:$P$1992, "&gt;"&amp;0)</f>
        <v>0</v>
      </c>
      <c r="H14" s="95">
        <f t="shared" si="2"/>
        <v>0</v>
      </c>
      <c r="I14" s="96">
        <f t="shared" si="3"/>
        <v>1195877261</v>
      </c>
      <c r="J14" s="16"/>
    </row>
    <row r="15" spans="1:20" ht="33" customHeight="1">
      <c r="A15" s="92" t="s">
        <v>140</v>
      </c>
      <c r="B15" s="93">
        <f t="shared" si="1"/>
        <v>14042559485</v>
      </c>
      <c r="C15" s="93">
        <f>SUMIFS('3. 일입'!$N$7:$N$1831,'3. 일입'!$B$7:$B$1831, $A15, '3. 일입'!$N$7:$N$1831, "&lt;"&amp;0)+SUMIFS('4. 특입'!$N$6:$N$1994,'4. 특입'!$B$6:$B$1994,$A15, '4. 특입'!$N$6:$N$1994,  "&lt;"&amp;0)+SUMIFS('4-1. 공특입'!$O$6:$O$1992,'4-1. 공특입'!$B$6:$B$1992,$A15, '4-1. 공특입'!$O$6:$O$1992,  "&lt;"&amp;0)</f>
        <v>0</v>
      </c>
      <c r="D15" s="94">
        <f>SUMIFS('3. 일입'!$N$7:$N$1831,'3. 일입'!$B$7:$B$1831, $A15, '3. 일입'!$N$7:$N$1831, "&gt;"&amp;0)+SUMIFS('4. 특입'!$N$6:$N$1994,'4. 특입'!$B$6:$B$1994,$A15, '4. 특입'!$N$6:$N$1994,  "&gt;"&amp;0)+SUMIFS('4-1. 공특입'!$O$6:$O$1992,'4-1. 공특입'!$B$6:$B$1992,$A15, '4-1. 공특입'!$O$6:$O$1992,  "&gt;"&amp;0)</f>
        <v>0</v>
      </c>
      <c r="E15" s="95">
        <f t="shared" si="4"/>
        <v>0</v>
      </c>
      <c r="F15" s="460">
        <f>SUMIFS('3. 일출(자체)'!$P$6:$P$1826,'3. 일출(자체)'!$B$6:$B$1826, $A15, '3. 일출(자체)'!$P$6:$P$1826, "&lt;"&amp;0)+SUMIFS('3. 일출(의존)'!$P$6:P$1829,'3. 일출(의존)'!$B$6:$B$1829, $A15, '3. 일출(의존)'!$P$6:$P$1829, "&lt;"&amp;0)+SUMIFS('4. 특출'!$P$5:$P$1991,'4. 특출'!$B$5:$B$1991, $A15, '4. 특출'!$P$5:$P$1991, "&lt;"&amp;0)+SUMIFS('4-1. 공특출'!$P$5:$P$1992,'4-1. 공특출'!$B$5:$B$1992, $A15, '4-1. 공특출'!$P$5:$P$1992, "&lt;"&amp;0)</f>
        <v>0</v>
      </c>
      <c r="G15" s="94">
        <f>SUMIFS('3. 일출(자체)'!$P$6:$P$1826,'3. 일출(자체)'!$B$6:$B$1826, $A15, '3. 일출(자체)'!$P$6:$P$1826, "&gt;"&amp;0)+SUMIFS('3. 일출(의존)'!$P$6:$P$1829,'3. 일출(의존)'!$B$6:$B$1829, $A15, '3. 일출(의존)'!$P$6:$P$1829, "&gt;"&amp;0)+SUMIFS('4. 특출'!$P$5:$P$1991,'4. 특출'!$B$5:$B$1991, $A15, '4. 특출'!$P$5:$P$1991, "&gt;"&amp;0)+SUMIFS('4-1. 공특출'!$P$5:$P$1992,'4-1. 공특출'!$B$5:$B$1992, $A15, '4-1. 공특출'!$P$5:$P$1992, "&gt;"&amp;0)</f>
        <v>0</v>
      </c>
      <c r="H15" s="95">
        <f t="shared" si="2"/>
        <v>0</v>
      </c>
      <c r="I15" s="96">
        <f t="shared" si="3"/>
        <v>14042559485</v>
      </c>
      <c r="J15" s="16"/>
    </row>
    <row r="16" spans="1:20" ht="33" customHeight="1">
      <c r="A16" s="92" t="s">
        <v>241</v>
      </c>
      <c r="B16" s="93">
        <f t="shared" si="1"/>
        <v>3029412433</v>
      </c>
      <c r="C16" s="93">
        <f>SUMIFS('3. 일입'!$N$7:$N$1831,'3. 일입'!$B$7:$B$1831, $A16, '3. 일입'!$N$7:$N$1831, "&lt;"&amp;0)+SUMIFS('4. 특입'!$N$6:$N$1994,'4. 특입'!$B$6:$B$1994,$A16, '4. 특입'!$N$6:$N$1994,  "&lt;"&amp;0)+SUMIFS('4-1. 공특입'!$O$6:$O$1992,'4-1. 공특입'!$B$6:$B$1992,$A16, '4-1. 공특입'!$O$6:$O$1992,  "&lt;"&amp;0)</f>
        <v>0</v>
      </c>
      <c r="D16" s="94">
        <f>SUMIFS('3. 일입'!$N$7:$N$1831,'3. 일입'!$B$7:$B$1831, $A16, '3. 일입'!$N$7:$N$1831, "&gt;"&amp;0)+SUMIFS('4. 특입'!$N$6:$N$1994,'4. 특입'!$B$6:$B$1994,$A16, '4. 특입'!$N$6:$N$1994,  "&gt;"&amp;0)+SUMIFS('4-1. 공특입'!$O$6:$O$1992,'4-1. 공특입'!$B$6:$B$1992,$A16, '4-1. 공특입'!$O$6:$O$1992,  "&gt;"&amp;0)</f>
        <v>0</v>
      </c>
      <c r="E16" s="95">
        <f t="shared" si="4"/>
        <v>0</v>
      </c>
      <c r="F16" s="460">
        <f>SUMIFS('3. 일출(자체)'!$P$6:$P$1826,'3. 일출(자체)'!$B$6:$B$1826, $A16, '3. 일출(자체)'!$P$6:$P$1826, "&lt;"&amp;0)+SUMIFS('3. 일출(의존)'!$P$6:P$1829,'3. 일출(의존)'!$B$6:$B$1829, $A16, '3. 일출(의존)'!$P$6:$P$1829, "&lt;"&amp;0)+SUMIFS('4. 특출'!$P$5:$P$1991,'4. 특출'!$B$5:$B$1991, $A16, '4. 특출'!$P$5:$P$1991, "&lt;"&amp;0)+SUMIFS('4-1. 공특출'!$P$5:$P$1992,'4-1. 공특출'!$B$5:$B$1992, $A16, '4-1. 공특출'!$P$5:$P$1992, "&lt;"&amp;0)</f>
        <v>0</v>
      </c>
      <c r="G16" s="94">
        <f>SUMIFS('3. 일출(자체)'!$P$6:$P$1826,'3. 일출(자체)'!$B$6:$B$1826, $A16, '3. 일출(자체)'!$P$6:$P$1826, "&gt;"&amp;0)+SUMIFS('3. 일출(의존)'!$P$6:$P$1829,'3. 일출(의존)'!$B$6:$B$1829, $A16, '3. 일출(의존)'!$P$6:$P$1829, "&gt;"&amp;0)+SUMIFS('4. 특출'!$P$5:$P$1991,'4. 특출'!$B$5:$B$1991, $A16, '4. 특출'!$P$5:$P$1991, "&gt;"&amp;0)+SUMIFS('4-1. 공특출'!$P$5:$P$1992,'4-1. 공특출'!$B$5:$B$1992, $A16, '4-1. 공특출'!$P$5:$P$1992, "&gt;"&amp;0)</f>
        <v>0</v>
      </c>
      <c r="H16" s="95">
        <f t="shared" si="2"/>
        <v>0</v>
      </c>
      <c r="I16" s="96">
        <f t="shared" si="3"/>
        <v>3029412433</v>
      </c>
      <c r="J16" s="16"/>
    </row>
    <row r="17" spans="1:14" ht="33" customHeight="1">
      <c r="A17" s="92" t="s">
        <v>166</v>
      </c>
      <c r="B17" s="93">
        <f t="shared" si="1"/>
        <v>2367511141</v>
      </c>
      <c r="C17" s="93">
        <f>SUMIFS('3. 일입'!$N$7:$N$1831,'3. 일입'!$B$7:$B$1831, $A17, '3. 일입'!$N$7:$N$1831, "&lt;"&amp;0)+SUMIFS('4. 특입'!$N$6:$N$1994,'4. 특입'!$B$6:$B$1994,$A17, '4. 특입'!$N$6:$N$1994,  "&lt;"&amp;0)+SUMIFS('4-1. 공특입'!$O$6:$O$1992,'4-1. 공특입'!$B$6:$B$1992,$A17, '4-1. 공특입'!$O$6:$O$1992,  "&lt;"&amp;0)</f>
        <v>0</v>
      </c>
      <c r="D17" s="94">
        <f>SUMIFS('3. 일입'!$N$7:$N$1831,'3. 일입'!$B$7:$B$1831, $A17, '3. 일입'!$N$7:$N$1831, "&gt;"&amp;0)+SUMIFS('4. 특입'!$N$6:$N$1994,'4. 특입'!$B$6:$B$1994,$A17, '4. 특입'!$N$6:$N$1994,  "&gt;"&amp;0)+SUMIFS('4-1. 공특입'!$O$6:$O$1992,'4-1. 공특입'!$B$6:$B$1992,$A17, '4-1. 공특입'!$O$6:$O$1992,  "&gt;"&amp;0)</f>
        <v>50250</v>
      </c>
      <c r="E17" s="95">
        <f t="shared" si="4"/>
        <v>50250</v>
      </c>
      <c r="F17" s="460">
        <f>SUMIFS('3. 일출(자체)'!$P$6:$P$1826,'3. 일출(자체)'!$B$6:$B$1826, $A17, '3. 일출(자체)'!$P$6:$P$1826, "&lt;"&amp;0)+SUMIFS('3. 일출(의존)'!$P$6:P$1829,'3. 일출(의존)'!$B$6:$B$1829, $A17, '3. 일출(의존)'!$P$6:$P$1829, "&lt;"&amp;0)+SUMIFS('4. 특출'!$P$5:$P$1991,'4. 특출'!$B$5:$B$1991, $A17, '4. 특출'!$P$5:$P$1991, "&lt;"&amp;0)+SUMIFS('4-1. 공특출'!$P$5:$P$1992,'4-1. 공특출'!$B$5:$B$1992, $A17, '4-1. 공특출'!$P$5:$P$1992, "&lt;"&amp;0)</f>
        <v>0</v>
      </c>
      <c r="G17" s="94">
        <f>SUMIFS('3. 일출(자체)'!$P$6:$P$1826,'3. 일출(자체)'!$B$6:$B$1826, $A17, '3. 일출(자체)'!$P$6:$P$1826, "&gt;"&amp;0)+SUMIFS('3. 일출(의존)'!$P$6:$P$1829,'3. 일출(의존)'!$B$6:$B$1829, $A17, '3. 일출(의존)'!$P$6:$P$1829, "&gt;"&amp;0)+SUMIFS('4. 특출'!$P$5:$P$1991,'4. 특출'!$B$5:$B$1991, $A17, '4. 특출'!$P$5:$P$1991, "&gt;"&amp;0)+SUMIFS('4-1. 공특출'!$P$5:$P$1992,'4-1. 공특출'!$B$5:$B$1992, $A17, '4-1. 공특출'!$P$5:$P$1992, "&gt;"&amp;0)</f>
        <v>0</v>
      </c>
      <c r="H17" s="95">
        <f t="shared" si="2"/>
        <v>0</v>
      </c>
      <c r="I17" s="96">
        <f t="shared" si="3"/>
        <v>2367511141</v>
      </c>
      <c r="J17" s="16"/>
    </row>
    <row r="18" spans="1:14" ht="33" customHeight="1">
      <c r="A18" s="92" t="s">
        <v>1013</v>
      </c>
      <c r="B18" s="93">
        <f>B42</f>
        <v>890727734</v>
      </c>
      <c r="C18" s="93">
        <f>SUMIFS('3. 일입'!$N$7:$N$1831,'3. 일입'!$B$7:$B$1831, $A18, '3. 일입'!$N$7:$N$1831, "&lt;"&amp;0)+SUMIFS('4. 특입'!$N$6:$N$1994,'4. 특입'!$B$6:$B$1994,$A18, '4. 특입'!$N$6:$N$1994,  "&lt;"&amp;0)+SUMIFS('4-1. 공특입'!$O$6:$O$1992,'4-1. 공특입'!$B$6:$B$1992,$A18, '4-1. 공특입'!$O$6:$O$1992,  "&lt;"&amp;0)</f>
        <v>0</v>
      </c>
      <c r="D18" s="94">
        <f>SUMIFS('3. 일입'!$N$7:$N$1831,'3. 일입'!$B$7:$B$1831, $A18, '3. 일입'!$N$7:$N$1831, "&gt;"&amp;0)+SUMIFS('4. 특입'!$N$6:$N$1994,'4. 특입'!$B$6:$B$1994,$A18, '4. 특입'!$N$6:$N$1994,  "&gt;"&amp;0)+SUMIFS('4-1. 공특입'!$O$6:$O$1992,'4-1. 공특입'!$B$6:$B$1992,$A18, '4-1. 공특입'!$O$6:$O$1992,  "&gt;"&amp;0)</f>
        <v>0</v>
      </c>
      <c r="E18" s="95">
        <f t="shared" si="4"/>
        <v>0</v>
      </c>
      <c r="F18" s="460">
        <f>SUMIFS('3. 일출(자체)'!$P$6:$P$1826,'3. 일출(자체)'!$B$6:$B$1826, $A18, '3. 일출(자체)'!$P$6:$P$1826, "&lt;"&amp;0)+SUMIFS('3. 일출(의존)'!$P$6:P$1829,'3. 일출(의존)'!$B$6:$B$1829, $A18, '3. 일출(의존)'!$P$6:$P$1829, "&lt;"&amp;0)+SUMIFS('4. 특출'!$P$5:$P$1991,'4. 특출'!$B$5:$B$1991, $A18, '4. 특출'!$P$5:$P$1991, "&lt;"&amp;0)+SUMIFS('4-1. 공특출'!$P$5:$P$1992,'4-1. 공특출'!$B$5:$B$1992, $A18, '4-1. 공특출'!$P$5:$P$1992, "&lt;"&amp;0)</f>
        <v>0</v>
      </c>
      <c r="G18" s="94">
        <f>SUMIFS('3. 일출(자체)'!$P$6:$P$1826,'3. 일출(자체)'!$B$6:$B$1826, $A18, '3. 일출(자체)'!$P$6:$P$1826, "&gt;"&amp;0)+SUMIFS('3. 일출(의존)'!$P$6:$P$1829,'3. 일출(의존)'!$B$6:$B$1829, $A18, '3. 일출(의존)'!$P$6:$P$1829, "&gt;"&amp;0)+SUMIFS('4. 특출'!$P$5:$P$1991,'4. 특출'!$B$5:$B$1991, $A18, '4. 특출'!$P$5:$P$1991, "&gt;"&amp;0)+SUMIFS('4-1. 공특출'!$P$5:$P$1992,'4-1. 공특출'!$B$5:$B$1992, $A18, '4-1. 공특출'!$P$5:$P$1992, "&gt;"&amp;0)</f>
        <v>0</v>
      </c>
      <c r="H18" s="95">
        <f t="shared" ref="H18" si="5">G18+F18</f>
        <v>0</v>
      </c>
      <c r="I18" s="96">
        <f t="shared" ref="I18" si="6">B18+F18+G18</f>
        <v>890727734</v>
      </c>
      <c r="J18" s="16"/>
    </row>
    <row r="19" spans="1:14" ht="33" customHeight="1" thickBot="1">
      <c r="A19" s="97" t="s">
        <v>242</v>
      </c>
      <c r="B19" s="98">
        <f t="shared" ref="B19" si="7">B43</f>
        <v>9354473576</v>
      </c>
      <c r="C19" s="98">
        <f>SUMIFS('3. 일입'!$N$7:$N$1831,'3. 일입'!$B$7:$B$1831, $A19, '3. 일입'!$N$7:$N$1831, "&lt;"&amp;0)+SUMIFS('4. 특입'!$N$6:$N$1994,'4. 특입'!$B$6:$B$1994,$A19, '4. 특입'!$N$6:$N$1994,  "&lt;"&amp;0)+SUMIFS('4-1. 공특입'!$O$6:$O$1992,'4-1. 공특입'!$B$6:$B$1992,$A19, '4-1. 공특입'!$O$6:$O$1992,  "&lt;"&amp;0)</f>
        <v>0</v>
      </c>
      <c r="D19" s="461">
        <f>SUMIFS('3. 일입'!$N$7:$N$1831,'3. 일입'!$B$7:$B$1831, $A19, '3. 일입'!$N$7:$N$1831, "&gt;"&amp;0)+SUMIFS('4. 특입'!$N$6:$N$1994,'4. 특입'!$B$6:$B$1994,$A19, '4. 특입'!$N$6:$N$1994,  "&gt;"&amp;0)+SUMIFS('4-1. 공특입'!$O$6:$O$1992,'4-1. 공특입'!$B$6:$B$1992,$A19, '4-1. 공특입'!$O$6:$O$1992,  "&gt;"&amp;0)</f>
        <v>400000</v>
      </c>
      <c r="E19" s="300">
        <f t="shared" si="4"/>
        <v>400000</v>
      </c>
      <c r="F19" s="462">
        <f>SUMIFS('3. 일출(자체)'!$P$6:$P$1826,'3. 일출(자체)'!$B$6:$B$1826, $A19, '3. 일출(자체)'!$P$6:$P$1826, "&lt;"&amp;0)+SUMIFS('3. 일출(의존)'!$P$6:P$1829,'3. 일출(의존)'!$B$6:$B$1829, $A19, '3. 일출(의존)'!$P$6:$P$1829, "&lt;"&amp;0)+SUMIFS('4. 특출'!$P$5:$P$1991,'4. 특출'!$B$5:$B$1991, $A19, '4. 특출'!$P$5:$P$1991, "&lt;"&amp;0)+SUMIFS('4-1. 공특출'!$P$5:$P$1992,'4-1. 공특출'!$B$5:$B$1992, $A19, '4-1. 공특출'!$P$5:$P$1992, "&lt;"&amp;0)</f>
        <v>0</v>
      </c>
      <c r="G19" s="461">
        <f>SUMIFS('3. 일출(자체)'!$P$6:$P$1826,'3. 일출(자체)'!$B$6:$B$1826, $A19, '3. 일출(자체)'!$P$6:$P$1826, "&gt;"&amp;0)+SUMIFS('3. 일출(의존)'!$P$6:$P$1829,'3. 일출(의존)'!$B$6:$B$1829, $A19, '3. 일출(의존)'!$P$6:$P$1829, "&gt;"&amp;0)+SUMIFS('4. 특출'!$P$5:$P$1991,'4. 특출'!$B$5:$B$1991, $A19, '4. 특출'!$P$5:$P$1991, "&gt;"&amp;0)+SUMIFS('4-1. 공특출'!$P$5:$P$1992,'4-1. 공특출'!$B$5:$B$1992, $A19, '4-1. 공특출'!$P$5:$P$1992, "&gt;"&amp;0)</f>
        <v>3588632</v>
      </c>
      <c r="H19" s="301">
        <f t="shared" si="2"/>
        <v>3588632</v>
      </c>
      <c r="I19" s="99">
        <f t="shared" si="3"/>
        <v>9358062208</v>
      </c>
      <c r="J19" s="16"/>
    </row>
    <row r="20" spans="1:14" ht="9.75" customHeight="1"/>
    <row r="21" spans="1:14" ht="30" customHeight="1">
      <c r="A21" s="103" t="s">
        <v>249</v>
      </c>
    </row>
    <row r="22" spans="1:14" ht="15" customHeight="1">
      <c r="I22" s="4" t="s">
        <v>131</v>
      </c>
      <c r="J22" s="15"/>
    </row>
    <row r="23" spans="1:14" ht="24.95" customHeight="1" thickBot="1">
      <c r="A23" s="564" t="s">
        <v>132</v>
      </c>
      <c r="B23" s="564" t="s">
        <v>133</v>
      </c>
      <c r="C23" s="564" t="s">
        <v>289</v>
      </c>
      <c r="D23" s="564"/>
      <c r="E23" s="566"/>
      <c r="F23" s="564" t="s">
        <v>288</v>
      </c>
      <c r="G23" s="564"/>
      <c r="H23" s="566"/>
      <c r="I23" s="564" t="s">
        <v>136</v>
      </c>
      <c r="J23" s="10"/>
      <c r="K23" s="12"/>
      <c r="L23" s="13"/>
      <c r="M23" s="7"/>
    </row>
    <row r="24" spans="1:14" ht="24.95" customHeight="1">
      <c r="A24" s="564"/>
      <c r="B24" s="564"/>
      <c r="C24" s="104" t="s">
        <v>287</v>
      </c>
      <c r="D24" s="82" t="s">
        <v>142</v>
      </c>
      <c r="E24" s="83" t="s">
        <v>183</v>
      </c>
      <c r="F24" s="105" t="s">
        <v>286</v>
      </c>
      <c r="G24" s="82" t="s">
        <v>285</v>
      </c>
      <c r="H24" s="83" t="s">
        <v>183</v>
      </c>
      <c r="I24" s="565"/>
      <c r="J24" s="10"/>
      <c r="K24" s="8"/>
      <c r="L24" s="12"/>
      <c r="M24" s="7"/>
    </row>
    <row r="25" spans="1:14" ht="30" customHeight="1">
      <c r="A25" s="84" t="s">
        <v>284</v>
      </c>
      <c r="B25" s="85">
        <f t="shared" ref="B25:I25" si="8">SUM(B26:B27)</f>
        <v>42242001864</v>
      </c>
      <c r="C25" s="85">
        <f t="shared" si="8"/>
        <v>0</v>
      </c>
      <c r="D25" s="86">
        <f t="shared" si="8"/>
        <v>450250</v>
      </c>
      <c r="E25" s="87">
        <f t="shared" si="8"/>
        <v>450250</v>
      </c>
      <c r="F25" s="88">
        <f t="shared" si="8"/>
        <v>0</v>
      </c>
      <c r="G25" s="86">
        <f t="shared" si="8"/>
        <v>3588632</v>
      </c>
      <c r="H25" s="87">
        <f t="shared" si="8"/>
        <v>3588632</v>
      </c>
      <c r="I25" s="88">
        <f t="shared" si="8"/>
        <v>42245590496</v>
      </c>
      <c r="J25" s="16"/>
      <c r="K25" s="11"/>
      <c r="L25" s="11"/>
      <c r="M25" s="7"/>
    </row>
    <row r="26" spans="1:14" ht="30" customHeight="1">
      <c r="A26" s="100" t="s">
        <v>283</v>
      </c>
      <c r="B26" s="101">
        <f>D32</f>
        <v>37646557814</v>
      </c>
      <c r="C26" s="89">
        <f>SUMIFS('3. 일입'!$N$7:$N$1831,'3. 일입'!$D$7:$D$1831, "&lt;&gt;"&amp;"", '3. 일입'!$N$7:$N$1831, "&lt;"&amp;0)</f>
        <v>0</v>
      </c>
      <c r="D26" s="101">
        <f>SUMIFS('3. 일입'!$N$7:$N$1831,'3. 일입'!$D$7:$D$1831, "&lt;&gt;"&amp;"", '3. 일입'!$N$7:$N$1831, "&gt;"&amp;0)</f>
        <v>450250</v>
      </c>
      <c r="E26" s="90">
        <f>D26+C26</f>
        <v>450250</v>
      </c>
      <c r="F26" s="91">
        <f>SUMIFS('3. 일출(자체)'!$P$6:$P$1826,'3. 일출(자체)'!$D$6:$D$1826, "&lt;&gt;"&amp;"", '3. 일출(자체)'!$P$6:$P$1826, "&lt;"&amp;0)+SUMIFS('3. 일출(의존)'!$P$6:$P$1829,'3. 일출(의존)'!$D$6:$D$1829, "&lt;&gt;"&amp;"", '3. 일출(의존)'!$P$6:$P$1829, "&lt;"&amp;0)</f>
        <v>0</v>
      </c>
      <c r="G26" s="91">
        <f>SUMIFS('3. 일출(자체)'!$P$6:$P$1826, '3. 일출(자체)'!$D$6:$D$1826, "&lt;&gt;"&amp;"", '3. 일출(자체)'!$P$6:$P$1826, "&gt;"&amp;0)+ SUMIFS('3. 일출(의존)'!$P$6:$P$1829,'3. 일출(의존)'!$D$6:$D$1829, "&lt;&gt;"&amp;"", '3. 일출(의존)'!$P$6:$P$1829, "&gt;"&amp;0)</f>
        <v>3588632</v>
      </c>
      <c r="H26" s="90">
        <f>G26+F26</f>
        <v>3588632</v>
      </c>
      <c r="I26" s="91">
        <f>B26+F26+G26</f>
        <v>37650146446</v>
      </c>
      <c r="J26" s="16"/>
      <c r="K26" s="11"/>
      <c r="L26" s="11"/>
      <c r="M26" s="79"/>
      <c r="N26" s="25"/>
    </row>
    <row r="27" spans="1:14" ht="30" customHeight="1" thickBot="1">
      <c r="A27" s="97" t="s">
        <v>143</v>
      </c>
      <c r="B27" s="98">
        <f>E32+F32</f>
        <v>4595444050</v>
      </c>
      <c r="C27" s="98">
        <f>SUMIFS('4. 특입'!$N$6:$N$1000,'4. 특입'!$D$6:$D$1000,"&lt;&gt;"&amp;"", '4. 특입'!$N$6:$N$1000,  "&lt;"&amp;0)+SUMIFS('4-1. 공특입'!$O$6:$O$998,'4-1. 공특입'!$D$6:$D$998,"&lt;&gt;"&amp;"", '4-1. 공특입'!$O$6:$O$998,  "&lt;"&amp;0)</f>
        <v>0</v>
      </c>
      <c r="D27" s="102">
        <f>SUMIFS('4. 특입'!$N$6:$N$1000,'4. 특입'!$D$6:$D$1000,"&lt;&gt;"&amp;"", '4. 특입'!$N$6:$N$1000,  "&gt;"&amp;0)+SUMIFS('4-1. 공특입'!$O$6:$O$998,'4-1. 공특입'!$D$6:$D$998,"&lt;&gt;"&amp;"", '4-1. 공특입'!$O$6:$O$998,  "&gt;"&amp;0)</f>
        <v>0</v>
      </c>
      <c r="E27" s="301">
        <f>D27+C27</f>
        <v>0</v>
      </c>
      <c r="F27" s="99">
        <f xml:space="preserve"> SUMIFS('4. 특출'!$P$5:$P$995,'4. 특출'!$D$5:$D$995, "&lt;&gt;"&amp;"", '4. 특출'!$P$5:$P$995, "&lt;"&amp;0)+SUMIFS('4-1. 공특출'!$P$5:$P$996,'4-1. 공특출'!$D$5:$D$996, "&lt;&gt;"&amp;"", '4-1. 공특출'!$P$5:$P$996, "&lt;"&amp;0)</f>
        <v>0</v>
      </c>
      <c r="G27" s="102">
        <f xml:space="preserve"> SUMIFS('4. 특출'!$P$5:$P$995,'4. 특출'!$D$5:$D$995, "&lt;&gt;"&amp;"", '4. 특출'!$P$5:$P$995, "&gt;"&amp;0)+SUMIFS('4-1. 공특출'!$P$5:$P$996,'4-1. 공특출'!$D$5:$D$996, "&lt;&gt;"&amp;"", '4-1. 공특출'!$P$5:$P$996, "&gt;"&amp;0)</f>
        <v>0</v>
      </c>
      <c r="H27" s="301">
        <f>G27+F27</f>
        <v>0</v>
      </c>
      <c r="I27" s="99">
        <f>B27+F27+G27</f>
        <v>4595444050</v>
      </c>
      <c r="J27" s="16"/>
      <c r="K27" s="11"/>
      <c r="L27" s="11"/>
      <c r="M27" s="7"/>
    </row>
    <row r="28" spans="1:14" ht="19.5" hidden="1" customHeight="1"/>
    <row r="29" spans="1:14" ht="20.100000000000001" customHeight="1">
      <c r="D29" s="473"/>
      <c r="M29" s="25"/>
    </row>
    <row r="30" spans="1:14" ht="20.100000000000001" customHeight="1">
      <c r="A30" s="18" t="s">
        <v>250</v>
      </c>
      <c r="H30" s="473"/>
      <c r="I30" s="473"/>
    </row>
    <row r="31" spans="1:14" ht="20.100000000000001" customHeight="1">
      <c r="A31" s="111" t="s">
        <v>282</v>
      </c>
      <c r="B31" s="111" t="s">
        <v>281</v>
      </c>
      <c r="C31" s="111" t="s">
        <v>280</v>
      </c>
      <c r="D31" s="111" t="s">
        <v>279</v>
      </c>
      <c r="E31" s="111" t="s">
        <v>278</v>
      </c>
      <c r="F31" s="111" t="s">
        <v>144</v>
      </c>
    </row>
    <row r="32" spans="1:14" ht="20.100000000000001" customHeight="1">
      <c r="A32" s="110" t="s">
        <v>247</v>
      </c>
      <c r="B32" s="109">
        <f>SUM(B33:B43)</f>
        <v>42242001864</v>
      </c>
      <c r="C32" s="109">
        <f>SUM(C33:C43)</f>
        <v>42187089624</v>
      </c>
      <c r="D32" s="109">
        <f>SUM(D33:D43)</f>
        <v>37646557814</v>
      </c>
      <c r="E32" s="109">
        <f>SUM(E33:E43)</f>
        <v>4540531810</v>
      </c>
      <c r="F32" s="109">
        <f>SUM(F33:F43)</f>
        <v>54912240</v>
      </c>
      <c r="H32" s="371"/>
      <c r="I32" s="371"/>
      <c r="J32" s="371"/>
      <c r="K32" s="371"/>
      <c r="L32" s="371"/>
    </row>
    <row r="33" spans="1:12" ht="20.100000000000001" customHeight="1">
      <c r="A33" s="108" t="s">
        <v>137</v>
      </c>
      <c r="B33" s="106">
        <f t="shared" ref="B33:B43" si="9">SUM(D33:F33)</f>
        <v>129702008</v>
      </c>
      <c r="C33" s="106">
        <f t="shared" ref="C33:C41" si="10">D33+E33</f>
        <v>129702008</v>
      </c>
      <c r="D33" s="106">
        <v>129702008</v>
      </c>
      <c r="E33" s="106">
        <v>0</v>
      </c>
      <c r="F33" s="534">
        <v>0</v>
      </c>
      <c r="H33" s="371"/>
      <c r="I33" s="371"/>
      <c r="J33" s="371"/>
      <c r="K33" s="371"/>
      <c r="L33" s="371"/>
    </row>
    <row r="34" spans="1:12" ht="20.100000000000001" customHeight="1">
      <c r="A34" s="108" t="s">
        <v>238</v>
      </c>
      <c r="B34" s="106">
        <f t="shared" si="9"/>
        <v>5932148107</v>
      </c>
      <c r="C34" s="106">
        <f t="shared" si="10"/>
        <v>5932148107</v>
      </c>
      <c r="D34" s="106">
        <v>5892712561</v>
      </c>
      <c r="E34" s="106">
        <v>39435546</v>
      </c>
      <c r="F34" s="534">
        <v>0</v>
      </c>
      <c r="H34" s="371"/>
      <c r="I34" s="371"/>
      <c r="J34" s="371"/>
      <c r="K34" s="371"/>
      <c r="L34" s="371"/>
    </row>
    <row r="35" spans="1:12" ht="20.100000000000001" customHeight="1">
      <c r="A35" s="108" t="s">
        <v>277</v>
      </c>
      <c r="B35" s="106">
        <f t="shared" si="9"/>
        <v>474872242</v>
      </c>
      <c r="C35" s="106">
        <f t="shared" si="10"/>
        <v>474872242</v>
      </c>
      <c r="D35" s="106">
        <v>474872242</v>
      </c>
      <c r="E35" s="106">
        <v>0</v>
      </c>
      <c r="F35" s="534">
        <v>0</v>
      </c>
      <c r="H35" s="371"/>
      <c r="I35" s="371"/>
      <c r="J35" s="371"/>
      <c r="K35" s="371"/>
      <c r="L35" s="371"/>
    </row>
    <row r="36" spans="1:12" ht="20.100000000000001" customHeight="1">
      <c r="A36" s="108" t="s">
        <v>240</v>
      </c>
      <c r="B36" s="106">
        <f t="shared" si="9"/>
        <v>4269846310</v>
      </c>
      <c r="C36" s="106">
        <f t="shared" si="10"/>
        <v>4269846310</v>
      </c>
      <c r="D36" s="106">
        <v>2662231278</v>
      </c>
      <c r="E36" s="106">
        <v>1607615032</v>
      </c>
      <c r="F36" s="534">
        <v>0</v>
      </c>
      <c r="H36" s="371"/>
      <c r="I36" s="371"/>
      <c r="J36" s="371"/>
      <c r="K36" s="371"/>
      <c r="L36" s="371"/>
    </row>
    <row r="37" spans="1:12" ht="20.100000000000001" customHeight="1">
      <c r="A37" s="108" t="s">
        <v>138</v>
      </c>
      <c r="B37" s="106">
        <f t="shared" si="9"/>
        <v>554871567</v>
      </c>
      <c r="C37" s="106">
        <f t="shared" si="10"/>
        <v>554871567</v>
      </c>
      <c r="D37" s="106">
        <v>554871567</v>
      </c>
      <c r="E37" s="106">
        <v>0</v>
      </c>
      <c r="F37" s="534">
        <v>0</v>
      </c>
      <c r="H37" s="371"/>
      <c r="I37" s="371"/>
      <c r="J37" s="371"/>
      <c r="K37" s="371"/>
      <c r="L37" s="371"/>
    </row>
    <row r="38" spans="1:12" ht="20.100000000000001" customHeight="1">
      <c r="A38" s="108" t="s">
        <v>275</v>
      </c>
      <c r="B38" s="106">
        <f t="shared" si="9"/>
        <v>1195877261</v>
      </c>
      <c r="C38" s="106">
        <f t="shared" si="10"/>
        <v>1195877261</v>
      </c>
      <c r="D38" s="106">
        <v>1195877261</v>
      </c>
      <c r="E38" s="106">
        <v>0</v>
      </c>
      <c r="F38" s="534">
        <v>0</v>
      </c>
      <c r="H38" s="371"/>
      <c r="I38" s="371"/>
      <c r="J38" s="371"/>
      <c r="K38" s="371"/>
      <c r="L38" s="371"/>
    </row>
    <row r="39" spans="1:12" ht="20.100000000000001" customHeight="1">
      <c r="A39" s="108" t="s">
        <v>140</v>
      </c>
      <c r="B39" s="106">
        <f t="shared" si="9"/>
        <v>14042559485</v>
      </c>
      <c r="C39" s="106">
        <f t="shared" si="10"/>
        <v>14042559485</v>
      </c>
      <c r="D39" s="106">
        <v>11595408031</v>
      </c>
      <c r="E39" s="106">
        <v>2447151454</v>
      </c>
      <c r="F39" s="534">
        <v>0</v>
      </c>
      <c r="H39" s="371"/>
      <c r="I39" s="371"/>
      <c r="J39" s="371"/>
      <c r="K39" s="371"/>
      <c r="L39" s="371"/>
    </row>
    <row r="40" spans="1:12" ht="20.100000000000001" customHeight="1">
      <c r="A40" s="108" t="s">
        <v>241</v>
      </c>
      <c r="B40" s="106">
        <f t="shared" si="9"/>
        <v>3029412433</v>
      </c>
      <c r="C40" s="106">
        <f t="shared" si="10"/>
        <v>3029412433</v>
      </c>
      <c r="D40" s="106">
        <v>2869836504</v>
      </c>
      <c r="E40" s="106">
        <v>159575929</v>
      </c>
      <c r="F40" s="534">
        <v>0</v>
      </c>
      <c r="H40" s="371"/>
      <c r="I40" s="371"/>
      <c r="J40" s="371"/>
      <c r="K40" s="371"/>
      <c r="L40" s="371"/>
    </row>
    <row r="41" spans="1:12" ht="19.5" customHeight="1">
      <c r="A41" s="108" t="s">
        <v>166</v>
      </c>
      <c r="B41" s="106">
        <f t="shared" si="9"/>
        <v>2367511141</v>
      </c>
      <c r="C41" s="106">
        <f t="shared" si="10"/>
        <v>2345220241</v>
      </c>
      <c r="D41" s="106">
        <v>2170913256</v>
      </c>
      <c r="E41" s="106">
        <v>174306985</v>
      </c>
      <c r="F41" s="534">
        <v>22290900</v>
      </c>
      <c r="H41" s="371"/>
      <c r="I41" s="371"/>
      <c r="J41" s="371"/>
      <c r="K41" s="371"/>
      <c r="L41" s="371"/>
    </row>
    <row r="42" spans="1:12" ht="19.5" customHeight="1">
      <c r="A42" s="108" t="s">
        <v>1013</v>
      </c>
      <c r="B42" s="106">
        <f t="shared" ref="B42" si="11">SUM(D42:F42)</f>
        <v>890727734</v>
      </c>
      <c r="C42" s="106">
        <f t="shared" ref="C42:C43" si="12">D42+E42</f>
        <v>858106394</v>
      </c>
      <c r="D42" s="106">
        <v>858106394</v>
      </c>
      <c r="E42" s="106">
        <v>0</v>
      </c>
      <c r="F42" s="534">
        <v>32621340</v>
      </c>
      <c r="H42" s="371"/>
      <c r="I42" s="371"/>
      <c r="J42" s="371"/>
      <c r="K42" s="371"/>
      <c r="L42" s="371"/>
    </row>
    <row r="43" spans="1:12" ht="20.100000000000001" customHeight="1">
      <c r="A43" s="108" t="s">
        <v>242</v>
      </c>
      <c r="B43" s="106">
        <f t="shared" si="9"/>
        <v>9354473576</v>
      </c>
      <c r="C43" s="106">
        <f t="shared" si="12"/>
        <v>9354473576</v>
      </c>
      <c r="D43" s="106">
        <v>9242026712</v>
      </c>
      <c r="E43" s="106">
        <v>112446864</v>
      </c>
      <c r="F43" s="534">
        <v>0</v>
      </c>
      <c r="H43" s="371"/>
      <c r="I43" s="371"/>
      <c r="J43" s="371"/>
      <c r="K43" s="371"/>
      <c r="L43" s="371"/>
    </row>
    <row r="44" spans="1:12" ht="20.100000000000001" customHeight="1">
      <c r="D44" s="186"/>
      <c r="E44" s="186" t="s">
        <v>774</v>
      </c>
      <c r="F44" s="186"/>
    </row>
    <row r="45" spans="1:12" ht="20.100000000000001" customHeight="1">
      <c r="A45" s="107" t="s">
        <v>145</v>
      </c>
      <c r="B45" s="106">
        <v>42834815</v>
      </c>
      <c r="C45" s="106"/>
    </row>
    <row r="481" spans="21:21" ht="20.100000000000001" customHeight="1">
      <c r="U481" s="62"/>
    </row>
    <row r="482" spans="21:21" ht="20.100000000000001" customHeight="1">
      <c r="U482" s="62"/>
    </row>
    <row r="483" spans="21:21" ht="20.100000000000001" customHeight="1">
      <c r="U483" s="62"/>
    </row>
    <row r="484" spans="21:21" ht="20.100000000000001" customHeight="1">
      <c r="U484" s="62"/>
    </row>
  </sheetData>
  <mergeCells count="13">
    <mergeCell ref="A23:A24"/>
    <mergeCell ref="B23:B24"/>
    <mergeCell ref="I23:I24"/>
    <mergeCell ref="C23:E23"/>
    <mergeCell ref="F23:H23"/>
    <mergeCell ref="A2:I2"/>
    <mergeCell ref="T5:T6"/>
    <mergeCell ref="O9:O10"/>
    <mergeCell ref="A6:A7"/>
    <mergeCell ref="B6:B7"/>
    <mergeCell ref="I6:I7"/>
    <mergeCell ref="C6:E6"/>
    <mergeCell ref="F6:H6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FF"/>
    <pageSetUpPr fitToPage="1"/>
  </sheetPr>
  <dimension ref="A1:BE25"/>
  <sheetViews>
    <sheetView view="pageBreakPreview" zoomScale="55" zoomScaleNormal="55" zoomScaleSheetLayoutView="55" workbookViewId="0">
      <pane ySplit="7" topLeftCell="A8" activePane="bottomLeft" state="frozen"/>
      <selection pane="bottomLeft" activeCell="I9" sqref="I9"/>
    </sheetView>
  </sheetViews>
  <sheetFormatPr defaultColWidth="9" defaultRowHeight="50.1" customHeight="1"/>
  <cols>
    <col min="1" max="1" width="8.625" style="20" bestFit="1" customWidth="1"/>
    <col min="2" max="2" width="26.875" style="47" customWidth="1"/>
    <col min="3" max="3" width="23.25" style="47" bestFit="1" customWidth="1"/>
    <col min="4" max="4" width="26.375" style="47" bestFit="1" customWidth="1"/>
    <col min="5" max="5" width="8.625" style="47" bestFit="1" customWidth="1"/>
    <col min="6" max="7" width="15.625" style="58" customWidth="1"/>
    <col min="8" max="8" width="11.125" style="22" bestFit="1" customWidth="1"/>
    <col min="9" max="9" width="27.375" style="20" customWidth="1"/>
    <col min="10" max="10" width="45.625" style="20" customWidth="1"/>
    <col min="11" max="12" width="25.625" style="20" customWidth="1"/>
    <col min="13" max="13" width="25.625" style="391" customWidth="1"/>
    <col min="14" max="17" width="25.625" style="380" customWidth="1"/>
    <col min="18" max="18" width="17.375" style="20" bestFit="1" customWidth="1"/>
    <col min="19" max="19" width="19.625" style="29" bestFit="1" customWidth="1"/>
    <col min="20" max="20" width="25.125" style="29" bestFit="1" customWidth="1"/>
    <col min="21" max="21" width="14.875" style="29" bestFit="1" customWidth="1"/>
    <col min="22" max="22" width="26.625" style="29" customWidth="1"/>
    <col min="23" max="23" width="15.75" style="29" customWidth="1"/>
    <col min="24" max="24" width="16.5" style="29" customWidth="1"/>
    <col min="25" max="25" width="16.5" style="47" customWidth="1"/>
    <col min="26" max="26" width="6.875" style="20" customWidth="1"/>
    <col min="27" max="30" width="20.625" style="380" customWidth="1"/>
    <col min="31" max="31" width="2.625" style="20" customWidth="1"/>
    <col min="32" max="35" width="20.625" style="380" customWidth="1"/>
    <col min="36" max="36" width="2.625" style="20" customWidth="1"/>
    <col min="37" max="37" width="14.25" style="20" bestFit="1" customWidth="1"/>
    <col min="38" max="38" width="9" style="20" bestFit="1" customWidth="1"/>
    <col min="39" max="39" width="2.625" style="20" customWidth="1"/>
    <col min="40" max="40" width="14.25" style="20" bestFit="1" customWidth="1"/>
    <col min="41" max="41" width="11.125" style="20" customWidth="1"/>
    <col min="42" max="42" width="2.625" style="20" customWidth="1"/>
    <col min="43" max="43" width="9.5" style="20" bestFit="1" customWidth="1"/>
    <col min="44" max="44" width="2.625" style="20" customWidth="1"/>
    <col min="45" max="45" width="20.625" style="380" customWidth="1"/>
    <col min="46" max="46" width="8.875" style="20" bestFit="1" customWidth="1"/>
    <col min="47" max="47" width="16.625" style="20" customWidth="1"/>
    <col min="48" max="48" width="20.625" style="380" customWidth="1"/>
    <col min="49" max="49" width="8.875" style="20" bestFit="1" customWidth="1"/>
    <col min="50" max="50" width="16.625" style="20" customWidth="1"/>
    <col min="51" max="51" width="2.625" style="20" customWidth="1"/>
    <col min="52" max="52" width="20.625" style="380" customWidth="1"/>
    <col min="53" max="53" width="11.25" style="20" bestFit="1" customWidth="1"/>
    <col min="54" max="54" width="16.625" style="20" customWidth="1"/>
    <col min="55" max="55" width="20.625" style="380" customWidth="1"/>
    <col min="56" max="56" width="11.25" style="20" bestFit="1" customWidth="1"/>
    <col min="57" max="57" width="16.625" style="20" customWidth="1"/>
    <col min="58" max="16384" width="9" style="20"/>
  </cols>
  <sheetData>
    <row r="1" spans="1:57" s="275" customFormat="1" ht="90" customHeight="1">
      <c r="A1" s="597" t="s">
        <v>1015</v>
      </c>
      <c r="B1" s="597"/>
      <c r="C1" s="597"/>
      <c r="D1" s="597"/>
      <c r="E1" s="597"/>
      <c r="F1" s="597"/>
      <c r="G1" s="597"/>
      <c r="H1" s="597"/>
      <c r="I1" s="597"/>
      <c r="J1" s="597"/>
      <c r="K1" s="597"/>
      <c r="L1" s="597"/>
      <c r="M1" s="597"/>
      <c r="N1" s="597"/>
      <c r="O1" s="597"/>
      <c r="P1" s="597"/>
      <c r="Q1" s="597"/>
      <c r="R1" s="597"/>
      <c r="S1" s="597"/>
      <c r="T1" s="597"/>
      <c r="U1" s="597"/>
      <c r="V1" s="597"/>
      <c r="W1" s="597"/>
      <c r="X1" s="597"/>
      <c r="Y1" s="597"/>
      <c r="AA1" s="603" t="s">
        <v>1020</v>
      </c>
      <c r="AB1" s="604"/>
      <c r="AC1" s="604"/>
      <c r="AD1" s="605"/>
      <c r="AF1" s="600" t="s">
        <v>1020</v>
      </c>
      <c r="AG1" s="601"/>
      <c r="AH1" s="601"/>
      <c r="AI1" s="602"/>
      <c r="AK1" s="590" t="s">
        <v>1060</v>
      </c>
      <c r="AL1" s="591"/>
      <c r="AM1" s="378"/>
      <c r="AN1" s="590" t="s">
        <v>1061</v>
      </c>
      <c r="AO1" s="591"/>
      <c r="AS1" s="614" t="s">
        <v>120</v>
      </c>
      <c r="AT1" s="615"/>
      <c r="AU1" s="615"/>
      <c r="AV1" s="615"/>
      <c r="AW1" s="615"/>
      <c r="AX1" s="616"/>
      <c r="AZ1" s="611" t="s">
        <v>120</v>
      </c>
      <c r="BA1" s="612"/>
      <c r="BB1" s="612"/>
      <c r="BC1" s="612"/>
      <c r="BD1" s="612"/>
      <c r="BE1" s="613"/>
    </row>
    <row r="2" spans="1:57" ht="39.75" customHeight="1">
      <c r="A2" s="22"/>
      <c r="B2" s="49"/>
      <c r="M2" s="380"/>
      <c r="Q2" s="381"/>
      <c r="AA2" s="392" t="s">
        <v>1089</v>
      </c>
      <c r="AB2" s="393"/>
      <c r="AC2" s="392" t="s">
        <v>1090</v>
      </c>
      <c r="AD2" s="393"/>
      <c r="AF2" s="392" t="s">
        <v>1089</v>
      </c>
      <c r="AG2" s="393"/>
      <c r="AH2" s="392" t="s">
        <v>1090</v>
      </c>
      <c r="AK2" s="375"/>
      <c r="AL2" s="375"/>
      <c r="AM2" s="21"/>
      <c r="AN2" s="375"/>
      <c r="AO2" s="375"/>
      <c r="AT2" s="312"/>
      <c r="AU2" s="312"/>
      <c r="AW2" s="312"/>
      <c r="AX2" s="312"/>
      <c r="BA2" s="312"/>
      <c r="BB2" s="312"/>
      <c r="BD2" s="312"/>
      <c r="BE2" s="312"/>
    </row>
    <row r="3" spans="1:57" ht="31.5">
      <c r="A3" s="22"/>
      <c r="M3" s="380"/>
      <c r="N3" s="382"/>
      <c r="O3" s="382"/>
      <c r="P3" s="382"/>
      <c r="Q3" s="382"/>
      <c r="R3" s="64"/>
      <c r="Y3" s="61" t="s">
        <v>114</v>
      </c>
      <c r="AA3" s="418" t="str">
        <f>IF(AA7='3. 일출(의존)'!AB6,"OK","@@")</f>
        <v>@@</v>
      </c>
      <c r="AB3" s="393"/>
      <c r="AC3" s="418" t="str">
        <f>IF(SUM(AB7:AD7) = SUM('3. 일출(자체)'!AC6:AE6) +  SUM('3. 일출(의존)'!AC6:AE6),"OK","@@")</f>
        <v>@@</v>
      </c>
      <c r="AD3" s="393"/>
      <c r="AF3" s="418" t="str">
        <f>IF(AF7='3. 일출(의존)'!AH6,"OK","@@")</f>
        <v>OK</v>
      </c>
      <c r="AG3" s="393"/>
      <c r="AH3" s="418" t="str">
        <f>IF(SUM(AG7:AI7) = SUM('3. 일출(자체)'!AH6:AJ6) +  SUM('3. 일출(의존)'!AI6:AK6),"OK","@@")</f>
        <v>OK</v>
      </c>
      <c r="AI3" s="393"/>
      <c r="AK3" s="375"/>
      <c r="AL3" s="375"/>
      <c r="AM3" s="21"/>
      <c r="AN3" s="377"/>
      <c r="AO3" s="377"/>
      <c r="AU3" s="23"/>
      <c r="AX3" s="23"/>
      <c r="BB3" s="23"/>
      <c r="BE3" s="23"/>
    </row>
    <row r="4" spans="1:57" s="272" customFormat="1" ht="39.950000000000003" customHeight="1">
      <c r="A4" s="579" t="s">
        <v>184</v>
      </c>
      <c r="B4" s="583" t="s">
        <v>110</v>
      </c>
      <c r="C4" s="583" t="s">
        <v>111</v>
      </c>
      <c r="D4" s="583" t="s">
        <v>185</v>
      </c>
      <c r="E4" s="584" t="s">
        <v>113</v>
      </c>
      <c r="F4" s="584" t="s">
        <v>1084</v>
      </c>
      <c r="G4" s="584" t="s">
        <v>251</v>
      </c>
      <c r="H4" s="579" t="s">
        <v>505</v>
      </c>
      <c r="I4" s="579" t="s">
        <v>503</v>
      </c>
      <c r="J4" s="579" t="s">
        <v>504</v>
      </c>
      <c r="K4" s="580" t="s">
        <v>1642</v>
      </c>
      <c r="L4" s="580" t="s">
        <v>1637</v>
      </c>
      <c r="M4" s="580" t="s">
        <v>1076</v>
      </c>
      <c r="N4" s="568" t="s">
        <v>1077</v>
      </c>
      <c r="O4" s="567" t="s">
        <v>1080</v>
      </c>
      <c r="P4" s="568" t="s">
        <v>1078</v>
      </c>
      <c r="Q4" s="567" t="s">
        <v>1079</v>
      </c>
      <c r="R4" s="598" t="s">
        <v>258</v>
      </c>
      <c r="S4" s="567" t="s">
        <v>255</v>
      </c>
      <c r="T4" s="567" t="s">
        <v>1081</v>
      </c>
      <c r="U4" s="567" t="s">
        <v>256</v>
      </c>
      <c r="V4" s="567" t="s">
        <v>1082</v>
      </c>
      <c r="W4" s="567" t="s">
        <v>298</v>
      </c>
      <c r="X4" s="568" t="s">
        <v>267</v>
      </c>
      <c r="Y4" s="584" t="s">
        <v>244</v>
      </c>
      <c r="Z4" s="271"/>
      <c r="AA4" s="571" t="s">
        <v>117</v>
      </c>
      <c r="AB4" s="572"/>
      <c r="AC4" s="572"/>
      <c r="AD4" s="571"/>
      <c r="AF4" s="573" t="s">
        <v>121</v>
      </c>
      <c r="AG4" s="574"/>
      <c r="AH4" s="574"/>
      <c r="AI4" s="573"/>
      <c r="AK4" s="592" t="s">
        <v>158</v>
      </c>
      <c r="AL4" s="593"/>
      <c r="AN4" s="592" t="s">
        <v>119</v>
      </c>
      <c r="AO4" s="593"/>
      <c r="AQ4" s="587" t="s">
        <v>1024</v>
      </c>
      <c r="AS4" s="617" t="s">
        <v>1087</v>
      </c>
      <c r="AT4" s="618"/>
      <c r="AU4" s="618"/>
      <c r="AV4" s="618"/>
      <c r="AW4" s="618"/>
      <c r="AX4" s="619"/>
      <c r="AZ4" s="608" t="s">
        <v>1088</v>
      </c>
      <c r="BA4" s="609"/>
      <c r="BB4" s="609"/>
      <c r="BC4" s="609"/>
      <c r="BD4" s="609"/>
      <c r="BE4" s="610"/>
    </row>
    <row r="5" spans="1:57" s="272" customFormat="1" ht="39.950000000000003" customHeight="1">
      <c r="A5" s="579"/>
      <c r="B5" s="583"/>
      <c r="C5" s="583"/>
      <c r="D5" s="583"/>
      <c r="E5" s="584"/>
      <c r="F5" s="584"/>
      <c r="G5" s="584"/>
      <c r="H5" s="579"/>
      <c r="I5" s="579"/>
      <c r="J5" s="579"/>
      <c r="K5" s="580"/>
      <c r="L5" s="580"/>
      <c r="M5" s="580"/>
      <c r="N5" s="569"/>
      <c r="O5" s="567"/>
      <c r="P5" s="569"/>
      <c r="Q5" s="567"/>
      <c r="R5" s="598"/>
      <c r="S5" s="567"/>
      <c r="T5" s="567"/>
      <c r="U5" s="567"/>
      <c r="V5" s="567"/>
      <c r="W5" s="567"/>
      <c r="X5" s="569"/>
      <c r="Y5" s="584"/>
      <c r="Z5" s="271"/>
      <c r="AA5" s="606" t="s">
        <v>158</v>
      </c>
      <c r="AB5" s="575" t="s">
        <v>119</v>
      </c>
      <c r="AC5" s="576"/>
      <c r="AD5" s="577"/>
      <c r="AF5" s="606" t="s">
        <v>158</v>
      </c>
      <c r="AG5" s="575" t="s">
        <v>119</v>
      </c>
      <c r="AH5" s="576"/>
      <c r="AI5" s="577"/>
      <c r="AK5" s="585" t="s">
        <v>1051</v>
      </c>
      <c r="AL5" s="585" t="s">
        <v>116</v>
      </c>
      <c r="AM5" s="338"/>
      <c r="AN5" s="585" t="s">
        <v>1051</v>
      </c>
      <c r="AO5" s="585" t="s">
        <v>116</v>
      </c>
      <c r="AQ5" s="588"/>
      <c r="AS5" s="594" t="s">
        <v>158</v>
      </c>
      <c r="AT5" s="595"/>
      <c r="AU5" s="596"/>
      <c r="AV5" s="594" t="s">
        <v>119</v>
      </c>
      <c r="AW5" s="595"/>
      <c r="AX5" s="596"/>
      <c r="AZ5" s="594" t="s">
        <v>158</v>
      </c>
      <c r="BA5" s="595"/>
      <c r="BB5" s="596"/>
      <c r="BC5" s="594" t="s">
        <v>1039</v>
      </c>
      <c r="BD5" s="595"/>
      <c r="BE5" s="596"/>
    </row>
    <row r="6" spans="1:57" s="272" customFormat="1" ht="60" customHeight="1">
      <c r="A6" s="579"/>
      <c r="B6" s="583"/>
      <c r="C6" s="583"/>
      <c r="D6" s="583"/>
      <c r="E6" s="584"/>
      <c r="F6" s="584"/>
      <c r="G6" s="584"/>
      <c r="H6" s="579"/>
      <c r="I6" s="579"/>
      <c r="J6" s="579"/>
      <c r="K6" s="581"/>
      <c r="L6" s="581"/>
      <c r="M6" s="581"/>
      <c r="N6" s="570"/>
      <c r="O6" s="599"/>
      <c r="P6" s="570"/>
      <c r="Q6" s="599"/>
      <c r="R6" s="598"/>
      <c r="S6" s="567"/>
      <c r="T6" s="567"/>
      <c r="U6" s="567"/>
      <c r="V6" s="567"/>
      <c r="W6" s="567"/>
      <c r="X6" s="570"/>
      <c r="Y6" s="583"/>
      <c r="Z6" s="271"/>
      <c r="AA6" s="607"/>
      <c r="AB6" s="395" t="s">
        <v>1038</v>
      </c>
      <c r="AC6" s="395" t="s">
        <v>1035</v>
      </c>
      <c r="AD6" s="395" t="s">
        <v>773</v>
      </c>
      <c r="AF6" s="607"/>
      <c r="AG6" s="395" t="s">
        <v>1037</v>
      </c>
      <c r="AH6" s="395" t="s">
        <v>1034</v>
      </c>
      <c r="AI6" s="395" t="s">
        <v>1036</v>
      </c>
      <c r="AK6" s="586"/>
      <c r="AL6" s="586"/>
      <c r="AM6" s="338"/>
      <c r="AN6" s="586"/>
      <c r="AO6" s="586"/>
      <c r="AQ6" s="589"/>
      <c r="AS6" s="395" t="s">
        <v>183</v>
      </c>
      <c r="AT6" s="273" t="s">
        <v>126</v>
      </c>
      <c r="AU6" s="314" t="s">
        <v>1049</v>
      </c>
      <c r="AV6" s="395" t="s">
        <v>183</v>
      </c>
      <c r="AW6" s="303" t="s">
        <v>126</v>
      </c>
      <c r="AX6" s="314" t="s">
        <v>1049</v>
      </c>
      <c r="AZ6" s="395" t="s">
        <v>183</v>
      </c>
      <c r="BA6" s="273" t="s">
        <v>126</v>
      </c>
      <c r="BB6" s="314" t="s">
        <v>1049</v>
      </c>
      <c r="BC6" s="395" t="s">
        <v>183</v>
      </c>
      <c r="BD6" s="303" t="s">
        <v>126</v>
      </c>
      <c r="BE6" s="314" t="s">
        <v>1049</v>
      </c>
    </row>
    <row r="7" spans="1:57" s="329" customFormat="1" ht="80.099999999999994" customHeight="1">
      <c r="A7" s="333"/>
      <c r="B7" s="130" t="s">
        <v>252</v>
      </c>
      <c r="C7" s="331"/>
      <c r="D7" s="331"/>
      <c r="E7" s="331"/>
      <c r="F7" s="331"/>
      <c r="G7" s="331"/>
      <c r="H7" s="324"/>
      <c r="I7" s="336"/>
      <c r="J7" s="324" t="str">
        <f>SUBTOTAL(3,J$8:J$1831)&amp;"건"</f>
        <v>2건</v>
      </c>
      <c r="K7" s="383">
        <f t="shared" ref="K7:Q7" si="0">SUBTOTAL(9,K$8:K$1831)</f>
        <v>608645</v>
      </c>
      <c r="L7" s="383">
        <f t="shared" si="0"/>
        <v>0</v>
      </c>
      <c r="M7" s="383">
        <f t="shared" si="0"/>
        <v>608645</v>
      </c>
      <c r="N7" s="383">
        <f t="shared" si="0"/>
        <v>450250</v>
      </c>
      <c r="O7" s="383">
        <f t="shared" si="0"/>
        <v>1058895</v>
      </c>
      <c r="P7" s="383">
        <f t="shared" si="0"/>
        <v>0</v>
      </c>
      <c r="Q7" s="383">
        <f t="shared" si="0"/>
        <v>608645</v>
      </c>
      <c r="R7" s="130"/>
      <c r="S7" s="130"/>
      <c r="T7" s="130"/>
      <c r="U7" s="130"/>
      <c r="V7" s="130"/>
      <c r="W7" s="130"/>
      <c r="X7" s="130"/>
      <c r="Y7" s="333"/>
      <c r="Z7" s="334"/>
      <c r="AA7" s="383">
        <f>SUBTOTAL(9,AA$8:AA$1831)</f>
        <v>450250</v>
      </c>
      <c r="AB7" s="383">
        <f>SUBTOTAL(9,AB$8:AB$1831)</f>
        <v>0</v>
      </c>
      <c r="AC7" s="383">
        <f>SUBTOTAL(9,AC$8:AC$1831)</f>
        <v>0</v>
      </c>
      <c r="AD7" s="383">
        <f>SUBTOTAL(9,AD$8:AD$1831)</f>
        <v>0</v>
      </c>
      <c r="AF7" s="383">
        <f>SUBTOTAL(9,AF$8:AF$1831)</f>
        <v>0</v>
      </c>
      <c r="AG7" s="383">
        <f>SUBTOTAL(9,AG$8:AG$1831)</f>
        <v>0</v>
      </c>
      <c r="AH7" s="383">
        <f>SUBTOTAL(9,AH$8:AH$1831)</f>
        <v>0</v>
      </c>
      <c r="AI7" s="383">
        <f>SUBTOTAL(9,AI$8:AI$1831)</f>
        <v>0</v>
      </c>
      <c r="AK7" s="328"/>
      <c r="AL7" s="328"/>
      <c r="AN7" s="328"/>
      <c r="AO7" s="328"/>
      <c r="AQ7" s="328"/>
      <c r="AS7" s="383">
        <f>SUBTOTAL(9,AS$8:AS$1831)</f>
        <v>436750</v>
      </c>
      <c r="AT7" s="337">
        <f>SUBTOTAL(9,AT$8:AT$1831)</f>
        <v>2</v>
      </c>
      <c r="AU7" s="335" t="str">
        <f>IF(COUNTIF(AU$8:AU$1831,"@@")&gt;0,"@@","OK")</f>
        <v>@@</v>
      </c>
      <c r="AV7" s="383">
        <f>SUBTOTAL(9,AV$8:AV$1831)</f>
        <v>0</v>
      </c>
      <c r="AW7" s="337">
        <f>SUBTOTAL(9,AW$8:AW$1831)</f>
        <v>0</v>
      </c>
      <c r="AX7" s="335" t="str">
        <f>IF(COUNTIF(AX$8:AX$1831,"@@")&gt;0,"@@","OK")</f>
        <v>OK</v>
      </c>
      <c r="AZ7" s="383">
        <f>SUBTOTAL(9,AZ$8:AZ$1831)</f>
        <v>0</v>
      </c>
      <c r="BA7" s="337">
        <f>SUBTOTAL(9,BA$8:BA$1831)</f>
        <v>2</v>
      </c>
      <c r="BB7" s="335" t="str">
        <f>IF(COUNTIF(BB$8:BB$1831,"@@")&gt;0,"@@","OK")</f>
        <v>OK</v>
      </c>
      <c r="BC7" s="383">
        <f>SUBTOTAL(9,BC$8:BC$1831)</f>
        <v>0</v>
      </c>
      <c r="BD7" s="337">
        <f>SUBTOTAL(9,BD$8:BD$1831)</f>
        <v>0</v>
      </c>
      <c r="BE7" s="335" t="str">
        <f>IF(COUNTIF(BE$8:BE$1831,"@@")&gt;0,"@@","OK")</f>
        <v>OK</v>
      </c>
    </row>
    <row r="8" spans="1:57" ht="60" customHeight="1">
      <c r="A8" s="159"/>
      <c r="B8" s="582" t="s">
        <v>129</v>
      </c>
      <c r="C8" s="582"/>
      <c r="D8" s="582"/>
      <c r="E8" s="582"/>
      <c r="F8" s="582"/>
      <c r="G8" s="582"/>
      <c r="H8" s="159"/>
      <c r="I8" s="69"/>
      <c r="J8" s="341" t="str">
        <f>SUBTOTAL(3,J9:J9)&amp;"건"</f>
        <v>1건</v>
      </c>
      <c r="K8" s="384">
        <f t="shared" ref="K8:Q8" si="1">SUBTOTAL(9,K9:K9)</f>
        <v>608645</v>
      </c>
      <c r="L8" s="384">
        <f t="shared" si="1"/>
        <v>0</v>
      </c>
      <c r="M8" s="384">
        <f t="shared" si="1"/>
        <v>608645</v>
      </c>
      <c r="N8" s="384">
        <f t="shared" si="1"/>
        <v>50250</v>
      </c>
      <c r="O8" s="384">
        <f t="shared" si="1"/>
        <v>658895</v>
      </c>
      <c r="P8" s="384">
        <f t="shared" si="1"/>
        <v>0</v>
      </c>
      <c r="Q8" s="384">
        <f t="shared" si="1"/>
        <v>608645</v>
      </c>
      <c r="R8" s="68"/>
      <c r="S8" s="68"/>
      <c r="T8" s="68"/>
      <c r="U8" s="68"/>
      <c r="V8" s="68"/>
      <c r="W8" s="68"/>
      <c r="X8" s="68"/>
      <c r="Y8" s="70"/>
      <c r="Z8" s="42"/>
      <c r="AA8" s="396">
        <f>SUBTOTAL(9,AA9:AA9)</f>
        <v>50250</v>
      </c>
      <c r="AB8" s="396">
        <f>SUBTOTAL(9,AB9:AB9)</f>
        <v>0</v>
      </c>
      <c r="AC8" s="396">
        <f>SUBTOTAL(9,AC9:AC9)</f>
        <v>0</v>
      </c>
      <c r="AD8" s="396">
        <f>SUBTOTAL(9,AD9:AD9)</f>
        <v>0</v>
      </c>
      <c r="AE8" s="121"/>
      <c r="AF8" s="396">
        <f>SUBTOTAL(9,AF9:AF9)</f>
        <v>0</v>
      </c>
      <c r="AG8" s="396">
        <f>SUBTOTAL(9,AG9:AG9)</f>
        <v>0</v>
      </c>
      <c r="AH8" s="396">
        <f>SUBTOTAL(9,AH9:AH9)</f>
        <v>0</v>
      </c>
      <c r="AI8" s="396">
        <f>SUBTOTAL(9,AI9:AI9)</f>
        <v>0</v>
      </c>
      <c r="AJ8" s="50"/>
      <c r="AK8" s="70"/>
      <c r="AL8" s="70"/>
      <c r="AM8" s="50"/>
      <c r="AN8" s="70"/>
      <c r="AO8" s="70"/>
      <c r="AP8" s="50"/>
      <c r="AQ8" s="70"/>
      <c r="AR8" s="50"/>
      <c r="AS8" s="396">
        <f>SUBTOTAL(9,AS9:AS9)</f>
        <v>36750</v>
      </c>
      <c r="AT8" s="396">
        <f>SUBTOTAL(9,AT9:AT9)</f>
        <v>1</v>
      </c>
      <c r="AU8" s="469" t="str">
        <f>IF(COUNTIF(AU9:AU9,"@@")&gt;0,"@@","OK")</f>
        <v>@@</v>
      </c>
      <c r="AV8" s="396">
        <f>SUBTOTAL(9,AV9:AV9)</f>
        <v>0</v>
      </c>
      <c r="AW8" s="396">
        <f>SUBTOTAL(9,AW9:AW9)</f>
        <v>0</v>
      </c>
      <c r="AX8" s="469" t="str">
        <f>IF(COUNTIF(AX9:AX9,"@@")&gt;0,"@@","OK")</f>
        <v>OK</v>
      </c>
      <c r="AY8" s="50"/>
      <c r="AZ8" s="396">
        <f>SUBTOTAL(9,AZ9:AZ9)</f>
        <v>0</v>
      </c>
      <c r="BA8" s="396">
        <f>SUBTOTAL(9,BA9:BA9)</f>
        <v>1</v>
      </c>
      <c r="BB8" s="469" t="str">
        <f>IF(COUNTIF(BB9:BB9,"@@")&gt;0,"@@","OK")</f>
        <v>OK</v>
      </c>
      <c r="BC8" s="396">
        <f>SUBTOTAL(9,BC9:BC9)</f>
        <v>0</v>
      </c>
      <c r="BD8" s="396">
        <f>SUBTOTAL(9,BD9:BD9)</f>
        <v>0</v>
      </c>
      <c r="BE8" s="469" t="str">
        <f>IF(COUNTIF(BE9:BE9,"@@")&gt;0,"@@","OK")</f>
        <v>OK</v>
      </c>
    </row>
    <row r="9" spans="1:57" s="19" customFormat="1" ht="80.099999999999994" customHeight="1">
      <c r="A9" s="115">
        <f>IF(D9="","",COUNTA($C$8:C9)-COUNTBLANK($C$8:C9)+9)</f>
        <v>9</v>
      </c>
      <c r="B9" s="116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>도시환경위원회</v>
      </c>
      <c r="C9" s="116" t="str">
        <f>IF(D9="","",IF(OR(D9="교육지원과",D9="총무과",D9="인사과"),"직접입력",VLOOKUP(D9,구분표!$A$3:$C$258,3,)))</f>
        <v>수자원본부</v>
      </c>
      <c r="D9" s="167" t="s">
        <v>1643</v>
      </c>
      <c r="E9" s="161" t="s">
        <v>1639</v>
      </c>
      <c r="F9" s="323" t="str">
        <f>IF($E9="","",IF($E9="2추","직접입력","-"))</f>
        <v>-</v>
      </c>
      <c r="G9" s="323" t="str">
        <f>IF($E9="","",IF($E9="2추","직접입력","-"))</f>
        <v>-</v>
      </c>
      <c r="H9" s="161" t="s">
        <v>1644</v>
      </c>
      <c r="I9" s="116" t="str">
        <f>IF(H9="","",VLOOKUP($H9,구분표!$O$3:$P$168,2,FALSE))</f>
        <v>지역균형발전특별회계보조금</v>
      </c>
      <c r="J9" s="163" t="s">
        <v>1645</v>
      </c>
      <c r="K9" s="385">
        <v>608645</v>
      </c>
      <c r="L9" s="385" t="str">
        <f>IF($E9="", "", IF($E9="2추","금액입력", "-"))</f>
        <v>-</v>
      </c>
      <c r="M9" s="387">
        <f t="shared" ref="M9" si="2">IF($E9="","",SUM(K9:L9))</f>
        <v>608645</v>
      </c>
      <c r="N9" s="386">
        <v>50250</v>
      </c>
      <c r="O9" s="387">
        <f t="shared" ref="O9" si="3">SUM(M9:N9)</f>
        <v>658895</v>
      </c>
      <c r="P9" s="388"/>
      <c r="Q9" s="389">
        <f t="shared" ref="Q9" si="4">SUM(M9,P9)</f>
        <v>608645</v>
      </c>
      <c r="R9" s="118" t="str">
        <f t="shared" ref="R9" si="5">IF(AND((O9=0),(Q9&gt;0)),"O",IF(AND((N9&lt;0),(O9-Q9&lt;0)),"O","X"))</f>
        <v>X</v>
      </c>
      <c r="S9" s="164" t="s">
        <v>1646</v>
      </c>
      <c r="T9" s="270"/>
      <c r="U9" s="165" t="s">
        <v>1665</v>
      </c>
      <c r="V9" s="152"/>
      <c r="W9" s="165"/>
      <c r="X9" s="165"/>
      <c r="Y9" s="118" t="str">
        <f t="shared" ref="Y9" si="6">IF($H9="","",IF(OR($H9="511-01", $H9="511-02", $H9="511-03", $H9="311-02", $H9="311-04", $H9="321-01"),"국비","도비"))</f>
        <v>국비</v>
      </c>
      <c r="Z9" s="44"/>
      <c r="AA9" s="397">
        <f t="shared" ref="AA9" si="7">IF($Y9="국비", IF($N9&lt;&gt;"", $N9, 0), "")</f>
        <v>50250</v>
      </c>
      <c r="AB9" s="397" t="str">
        <f t="shared" ref="AB9" si="8">IF($Y9="도비", IF($AO9="자체", IF($N9&lt;&gt;"",$N9,0),""), "")</f>
        <v/>
      </c>
      <c r="AC9" s="397" t="str">
        <f t="shared" ref="AC9" si="9">IF($Y9="도비",IF($AO9="지방채",IF($N9&lt;&gt;"",$N9,0),""), "")</f>
        <v/>
      </c>
      <c r="AD9" s="397" t="str">
        <f t="shared" ref="AD9" si="10">IF($Y9="도비",IF($AO9="지역개발기금",IF($N9&lt;&gt;"",$N9,0),""),"")</f>
        <v/>
      </c>
      <c r="AE9" s="45"/>
      <c r="AF9" s="397">
        <f t="shared" ref="AF9" si="11">IF($Y9="국비", IF($P9&lt;&gt;"", $P9, 0), "")</f>
        <v>0</v>
      </c>
      <c r="AG9" s="397" t="str">
        <f t="shared" ref="AG9" si="12">IF($Y9="도비", IF($AO9="자체", IF($P9&lt;&gt;"",$P9,0),""), "")</f>
        <v/>
      </c>
      <c r="AH9" s="397" t="str">
        <f t="shared" ref="AH9" si="13">IF($Y9="도비",IF($AO9="지방채",IF($P9&lt;&gt;"",$P9,0),""), "")</f>
        <v/>
      </c>
      <c r="AI9" s="397" t="str">
        <f t="shared" ref="AI9" si="14">IF($Y9="도비",IF($AO9="지역개발기금",IF($P9&lt;&gt;"",$P9,0),""),"")</f>
        <v/>
      </c>
      <c r="AJ9" s="72"/>
      <c r="AK9" s="310" t="str">
        <f>IF($AQ9="","", IF(OR($AL9="", $AL9="도비"), "", CONCATENATE($AQ9,"-",COUNTIF($AQ$8:$AQ9,$AQ9))))</f>
        <v>50604-1</v>
      </c>
      <c r="AL9" s="310" t="str">
        <f t="shared" ref="AL9" si="15">IF($H9="","",IF($H9="511-01","국비",IF($H9="511-02","균특",IF($H9="511-03","기금",IF($H9="311-02","특교",IF($H9="311-04","소교",IF($H9="321-01","소멸","도비")))))))</f>
        <v>균특</v>
      </c>
      <c r="AM9" s="72"/>
      <c r="AN9" s="311" t="str">
        <f>IF($AQ9="","", IF(OR($AO9="", $AO9="국비", $AO9="자체"), "", CONCATENATE($AQ9,"-", $AO9,"-",COUNTIF($AQ$8:$AQ9, $AQ9))))</f>
        <v/>
      </c>
      <c r="AO9" s="311" t="str">
        <f t="shared" ref="AO9" si="16">IF($Y9="","", IF($Y9="국비", "국비", IF($H9="612-01","지방채",IF($H9="722-02","지역개발기금","자체"))))</f>
        <v>국비</v>
      </c>
      <c r="AP9" s="72"/>
      <c r="AQ9" s="310" t="str">
        <f t="array" ref="AQ9">IF(OR($D9="", $C9="직접입력", $B9="직접입력"),"",INDEX(구분표!$I$2:$I$337, MATCH(1,(구분표!$G$2:$G$337='3. 일입'!$B9)*(구분표!$E$2:$E$337='3. 일입'!$C9)*(구분표!$F$2:$F$337='3. 일입'!$D9),0)))</f>
        <v>50604</v>
      </c>
      <c r="AR9" s="72"/>
      <c r="AS9" s="398">
        <f>IF($AK9="","", SUMIFS('3. 일출(의존)'!$AB$7:$AB$1829,'3. 일출(의존)'!$AN$7:$AN$1829,$AK9))</f>
        <v>36750</v>
      </c>
      <c r="AT9" s="313">
        <f>IF($AK9="","", COUNTIF('3. 일출(의존)'!$AN$7:$AN$1829,$AK9))</f>
        <v>1</v>
      </c>
      <c r="AU9" s="310" t="str">
        <f t="shared" ref="AU9" si="17">IF($AK9="", "", IF($AA9=$AS9,"OK","@@"))</f>
        <v>@@</v>
      </c>
      <c r="AV9" s="398" t="str">
        <f>IF($AN9="","",IF($AO9="지역개발기금",SUMIFS('3. 일출(의존)'!$AE$7:$AE$1840,'3. 일출(의존)'!$AS$7:$AS$1840,$AN9)+SUMIFS('3. 일출(자체)'!$AE$7:$AE$1837,'3. 일출(자체)'!$AM$7:$AM$1837,$AN9),IF($AO9="지방채",SUMIFS('3. 일출(의존)'!$AD$7:$AD$1840,'3. 일출(의존)'!$AS$7:$AS$1840,$AN9)+SUMIFS('3. 일출(자체)'!$AD$7:$AD$1837,'3. 일출(자체)'!$AM$7:$AM$1837,$AN9),0)))</f>
        <v/>
      </c>
      <c r="AW9" s="313" t="str">
        <f>IF($AN9="","", COUNTIF('3. 일출(의존)'!$AS$7:$AS$1840,$AN9)+COUNTIF('3. 일출(자체)'!$AM$7:$AM$1837,$AN9))</f>
        <v/>
      </c>
      <c r="AX9" s="310" t="str">
        <f t="shared" ref="AX9" si="18">IF($AN9="","", IF($AO9="자체","", IF($AO9="지방채", IF($AC9=$AV9, "OK", "@@"),  IF($AO9="지역개발기금", IF($AD9=$AV9,"OK","@@"), "@@"))))</f>
        <v/>
      </c>
      <c r="AY9" s="76"/>
      <c r="AZ9" s="398">
        <f>IF($AK9="","", SUMIFS('3. 일출(의존)'!$AH$7:$AH$1829,'3. 일출(의존)'!$AN$7:$AN$1829,$AK9))</f>
        <v>0</v>
      </c>
      <c r="BA9" s="313">
        <f>IF($AK9="","", COUNTIF('3. 일출(의존)'!$AN$7:$AN$1829,$AK9))</f>
        <v>1</v>
      </c>
      <c r="BB9" s="310" t="str">
        <f t="shared" ref="BB9" si="19">IF($AK9="", "", IF($AF9=$AZ9,"OK","@@"))</f>
        <v>OK</v>
      </c>
      <c r="BC9" s="398" t="str">
        <f>IF($AN9="","",IF($AO9="지역개발기금",SUMIFS('3. 일출(의존)'!$AK$7:$AK$1840,'3. 일출(의존)'!$AS$7:$AS$1840,$AN9)+SUMIFS('3. 일출(자체)'!$AJ$7:$AJ$1837,'3. 일출(자체)'!$AM$7:$AM$1837,$AN9),IF($AO9="지방채",SUMIFS('3. 일출(의존)'!$AJ$7:$AJ$1840,'3. 일출(의존)'!$AS$7:$AS$1840,$AN9)+SUMIFS('3. 일출(자체)'!$AI$7:$AI$1837,'3. 일출(자체)'!$AM$7:$AM$1837,$AN9),0)))</f>
        <v/>
      </c>
      <c r="BD9" s="313" t="str">
        <f>IF($AN9="","",COUNTIF('3. 일출(의존)'!$AS$7:$AS$1840,$AN9)+COUNTIF('3. 일출(자체)'!$AM$7:$AM$1837,$AN9))</f>
        <v/>
      </c>
      <c r="BE9" s="310" t="str">
        <f t="shared" ref="BE9" si="20">IF($AN9="","", IF($AO9="자체", "", IF($AO9="지방채", IF($AH9=$BC9, "OK", "@@"),  IF($AO9="지역개발기금", IF($AI9=$BC9,"OK","@@"), "@@"))))</f>
        <v/>
      </c>
    </row>
    <row r="10" spans="1:57" ht="60" customHeight="1">
      <c r="A10" s="160"/>
      <c r="B10" s="578" t="s">
        <v>243</v>
      </c>
      <c r="C10" s="578"/>
      <c r="D10" s="578"/>
      <c r="E10" s="578"/>
      <c r="F10" s="578"/>
      <c r="G10" s="578"/>
      <c r="H10" s="160"/>
      <c r="I10" s="74"/>
      <c r="J10" s="341" t="str">
        <f>SUBTOTAL(3,J11:J25)&amp;"건"</f>
        <v>1건</v>
      </c>
      <c r="K10" s="384">
        <f t="shared" ref="K10:Q10" si="21">SUBTOTAL(9,K11:K25)</f>
        <v>0</v>
      </c>
      <c r="L10" s="384">
        <f t="shared" si="21"/>
        <v>0</v>
      </c>
      <c r="M10" s="384">
        <f t="shared" si="21"/>
        <v>0</v>
      </c>
      <c r="N10" s="384">
        <f t="shared" si="21"/>
        <v>400000</v>
      </c>
      <c r="O10" s="384">
        <f t="shared" si="21"/>
        <v>400000</v>
      </c>
      <c r="P10" s="384">
        <f t="shared" si="21"/>
        <v>0</v>
      </c>
      <c r="Q10" s="384">
        <f t="shared" si="21"/>
        <v>0</v>
      </c>
      <c r="R10" s="68"/>
      <c r="S10" s="68"/>
      <c r="T10" s="68"/>
      <c r="U10" s="68"/>
      <c r="V10" s="73"/>
      <c r="W10" s="73"/>
      <c r="X10" s="73"/>
      <c r="Y10" s="75"/>
      <c r="Z10" s="42"/>
      <c r="AA10" s="396">
        <f>SUBTOTAL(9,AA11:AA25)</f>
        <v>400000</v>
      </c>
      <c r="AB10" s="396">
        <f>SUBTOTAL(9,AB11:AB25)</f>
        <v>0</v>
      </c>
      <c r="AC10" s="396">
        <f>SUBTOTAL(9,AC11:AC25)</f>
        <v>0</v>
      </c>
      <c r="AD10" s="396">
        <f>SUBTOTAL(9,AD11:AD25)</f>
        <v>0</v>
      </c>
      <c r="AE10" s="121"/>
      <c r="AF10" s="396">
        <f>SUBTOTAL(9,AF11:AF25)</f>
        <v>0</v>
      </c>
      <c r="AG10" s="396">
        <f>SUBTOTAL(9,AG11:AG25)</f>
        <v>0</v>
      </c>
      <c r="AH10" s="396">
        <f>SUBTOTAL(9,AH11:AH25)</f>
        <v>0</v>
      </c>
      <c r="AI10" s="396">
        <f>SUBTOTAL(9,AI11:AI25)</f>
        <v>0</v>
      </c>
      <c r="AJ10" s="50"/>
      <c r="AK10" s="70"/>
      <c r="AL10" s="70"/>
      <c r="AM10" s="50"/>
      <c r="AN10" s="70"/>
      <c r="AO10" s="70"/>
      <c r="AP10" s="50"/>
      <c r="AQ10" s="70"/>
      <c r="AR10" s="50"/>
      <c r="AS10" s="396">
        <f>SUBTOTAL(9,AS11:AS25)</f>
        <v>400000</v>
      </c>
      <c r="AT10" s="396">
        <f>SUBTOTAL(9,AT11:AT25)</f>
        <v>1</v>
      </c>
      <c r="AU10" s="469" t="str">
        <f>IF(COUNTIF(AU11:AU25,"@@")&gt;0,"@@","OK")</f>
        <v>OK</v>
      </c>
      <c r="AV10" s="396">
        <f>SUBTOTAL(9,AV11:AV25)</f>
        <v>0</v>
      </c>
      <c r="AW10" s="396">
        <f>SUBTOTAL(9,AW11:AW25)</f>
        <v>0</v>
      </c>
      <c r="AX10" s="469" t="str">
        <f>IF(COUNTIF(AX11:AX25,"@@")&gt;0,"@@","OK")</f>
        <v>OK</v>
      </c>
      <c r="AY10" s="50"/>
      <c r="AZ10" s="396">
        <f>SUBTOTAL(9,AZ11:AZ25)</f>
        <v>0</v>
      </c>
      <c r="BA10" s="396">
        <f>SUBTOTAL(9,BA11:BA25)</f>
        <v>1</v>
      </c>
      <c r="BB10" s="469" t="str">
        <f>IF(COUNTIF(BB11:BB25,"@@")&gt;0,"@@","OK")</f>
        <v>OK</v>
      </c>
      <c r="BC10" s="396">
        <f>SUBTOTAL(9,BC11:BC25)</f>
        <v>0</v>
      </c>
      <c r="BD10" s="396">
        <f>SUBTOTAL(9,BD11:BD25)</f>
        <v>0</v>
      </c>
      <c r="BE10" s="469" t="str">
        <f>IF(COUNTIF(BE11:BE25,"@@")&gt;0,"@@","OK")</f>
        <v>OK</v>
      </c>
    </row>
    <row r="11" spans="1:57" s="19" customFormat="1" ht="80.099999999999994" customHeight="1">
      <c r="A11" s="115">
        <f>IF(D11="","",COUNTA($C$8:C11)-COUNTBLANK($C$8:C11)+11)</f>
        <v>11</v>
      </c>
      <c r="B11" s="116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>여성가족평생교육위원회</v>
      </c>
      <c r="C11" s="116" t="str">
        <f>IF(D11="","",IF(OR(D11="교육지원과",D11="총무과",D11="인사과"),"직접입력",VLOOKUP(D11,구분표!$A$3:$C$258,3,)))</f>
        <v>이민사회국</v>
      </c>
      <c r="D11" s="167" t="s">
        <v>1658</v>
      </c>
      <c r="E11" s="161" t="s">
        <v>1641</v>
      </c>
      <c r="F11" s="323" t="str">
        <f t="shared" ref="F11:G25" si="22">IF($E11="","",IF($E11="2추","직접입력","-"))</f>
        <v>-</v>
      </c>
      <c r="G11" s="323" t="str">
        <f t="shared" si="22"/>
        <v>-</v>
      </c>
      <c r="H11" s="161" t="s">
        <v>1666</v>
      </c>
      <c r="I11" s="116" t="str">
        <f>IF(H11="","",VLOOKUP($H11,구분표!$O$3:$P$168,2,FALSE))</f>
        <v>국고보조금</v>
      </c>
      <c r="J11" s="180" t="s">
        <v>1661</v>
      </c>
      <c r="K11" s="385" t="str">
        <f t="shared" ref="K11:K25" si="23">IF($E11="","",IF(OR($E11="2추", $E11="1추", $E11="본예산"), "금액입력", "-"))</f>
        <v>-</v>
      </c>
      <c r="L11" s="385" t="str">
        <f t="shared" ref="L11:L25" si="24">IF($E11="", "", IF($E11="2추","금액입력", "-"))</f>
        <v>-</v>
      </c>
      <c r="M11" s="387">
        <f t="shared" ref="M11:M25" si="25">IF($E11="","",SUM(K11:L11))</f>
        <v>0</v>
      </c>
      <c r="N11" s="386">
        <v>400000</v>
      </c>
      <c r="O11" s="387">
        <f t="shared" ref="O11:O25" si="26">SUM(M11:N11)</f>
        <v>400000</v>
      </c>
      <c r="P11" s="388"/>
      <c r="Q11" s="389">
        <f t="shared" ref="Q11:Q25" si="27">SUM(M11,P11)</f>
        <v>0</v>
      </c>
      <c r="R11" s="118" t="str">
        <f t="shared" ref="R11:R25" si="28">IF(AND((O11=0),(Q11&gt;0)),"O",IF(AND((N11&lt;0),(O11-Q11&lt;0)),"O","X"))</f>
        <v>X</v>
      </c>
      <c r="S11" s="467" t="s">
        <v>1668</v>
      </c>
      <c r="T11" s="270"/>
      <c r="U11" s="165" t="s">
        <v>1664</v>
      </c>
      <c r="V11" s="152"/>
      <c r="W11" s="165"/>
      <c r="X11" s="165"/>
      <c r="Y11" s="118" t="str">
        <f t="shared" ref="Y11:Y25" si="29">IF($H11="","",IF(OR($H11="511-01", $H11="511-02", $H11="511-03", $H11="311-02", $H11="311-04", $H11="321-01"),"국비","도비"))</f>
        <v>국비</v>
      </c>
      <c r="Z11" s="44"/>
      <c r="AA11" s="397">
        <f t="shared" ref="AA11:AA25" si="30">IF($Y11="국비", IF($N11&lt;&gt;"", $N11, 0), "")</f>
        <v>400000</v>
      </c>
      <c r="AB11" s="397" t="str">
        <f t="shared" ref="AB11:AB25" si="31">IF($Y11="도비", IF($AO11="자체", IF($N11&lt;&gt;"",$N11,0),""), "")</f>
        <v/>
      </c>
      <c r="AC11" s="397" t="str">
        <f t="shared" ref="AC11:AC25" si="32">IF($Y11="도비",IF($AO11="지방채",IF($N11&lt;&gt;"",$N11,0),""), "")</f>
        <v/>
      </c>
      <c r="AD11" s="397" t="str">
        <f t="shared" ref="AD11:AD25" si="33">IF($Y11="도비",IF($AO11="지역개발기금",IF($N11&lt;&gt;"",$N11,0),""),"")</f>
        <v/>
      </c>
      <c r="AE11" s="45"/>
      <c r="AF11" s="397">
        <f t="shared" ref="AF11:AF25" si="34">IF($Y11="국비", IF($P11&lt;&gt;"", $P11, 0), "")</f>
        <v>0</v>
      </c>
      <c r="AG11" s="397" t="str">
        <f t="shared" ref="AG11:AG25" si="35">IF($Y11="도비", IF($AO11="자체", IF($P11&lt;&gt;"",$P11,0),""), "")</f>
        <v/>
      </c>
      <c r="AH11" s="397" t="str">
        <f t="shared" ref="AH11:AH25" si="36">IF($Y11="도비",IF($AO11="지방채",IF($P11&lt;&gt;"",$P11,0),""), "")</f>
        <v/>
      </c>
      <c r="AI11" s="397" t="str">
        <f t="shared" ref="AI11:AI25" si="37">IF($Y11="도비",IF($AO11="지역개발기금",IF($P11&lt;&gt;"",$P11,0),""),"")</f>
        <v/>
      </c>
      <c r="AJ11" s="72"/>
      <c r="AK11" s="310" t="str">
        <f>IF($AQ11="","", IF(OR($AL11="", $AL11="도비"), "", CONCATENATE($AQ11,"-",COUNTIF($AQ$8:$AQ11,$AQ11))))</f>
        <v>20304-1</v>
      </c>
      <c r="AL11" s="310" t="str">
        <f t="shared" ref="AL11:AL25" si="38">IF($H11="","",IF($H11="511-01","국비",IF($H11="511-02","균특",IF($H11="511-03","기금",IF($H11="311-02","특교",IF($H11="311-04","소교",IF($H11="321-01","소멸","도비")))))))</f>
        <v>국비</v>
      </c>
      <c r="AM11" s="72"/>
      <c r="AN11" s="311" t="str">
        <f>IF($AQ11="","", IF(OR($AO11="", $AO11="국비", $AO11="자체"), "", CONCATENATE($AQ11,"-", $AO11,"-",COUNTIF($AQ$8:$AQ11, $AQ11))))</f>
        <v/>
      </c>
      <c r="AO11" s="311" t="str">
        <f t="shared" ref="AO11:AO25" si="39">IF($Y11="","", IF($Y11="국비", "국비", IF($H11="612-01","지방채",IF($H11="722-02","지역개발기금","자체"))))</f>
        <v>국비</v>
      </c>
      <c r="AP11" s="72"/>
      <c r="AQ11" s="310" t="str">
        <f t="array" ref="AQ11">IF(OR($D11="", $C11="직접입력", $B11="직접입력"),"",INDEX(구분표!$I$2:$I$337, MATCH(1,(구분표!$G$2:$G$337='3. 일입'!$B11)*(구분표!$E$2:$E$337='3. 일입'!$C11)*(구분표!$F$2:$F$337='3. 일입'!$D11),0)))</f>
        <v>20304</v>
      </c>
      <c r="AR11" s="72"/>
      <c r="AS11" s="398">
        <f>IF($AK11="","", SUMIFS('3. 일출(의존)'!$AB$7:$AB$1829,'3. 일출(의존)'!$AN$7:$AN$1829,$AK11))</f>
        <v>400000</v>
      </c>
      <c r="AT11" s="313">
        <f>IF($AK11="","", COUNTIF('3. 일출(의존)'!$AN$7:$AN$1829,$AK11))</f>
        <v>1</v>
      </c>
      <c r="AU11" s="310" t="str">
        <f t="shared" ref="AU11:AU25" si="40">IF($AK11="", "", IF($AA11=$AS11,"OK","@@"))</f>
        <v>OK</v>
      </c>
      <c r="AV11" s="398" t="str">
        <f>IF($AN11="","",IF($AO11="지역개발기금",SUMIFS('3. 일출(의존)'!$AE$7:$AE$1840,'3. 일출(의존)'!$AS$7:$AS$1840,$AN11)+SUMIFS('3. 일출(자체)'!$AE$7:$AE$1837,'3. 일출(자체)'!$AM$7:$AM$1837,$AN11),IF($AO11="지방채",SUMIFS('3. 일출(의존)'!$AD$7:$AD$1840,'3. 일출(의존)'!$AS$7:$AS$1840,$AN11)+SUMIFS('3. 일출(자체)'!$AD$7:$AD$1837,'3. 일출(자체)'!$AM$7:$AM$1837,$AN11),0)))</f>
        <v/>
      </c>
      <c r="AW11" s="313" t="str">
        <f>IF($AN11="","", COUNTIF('3. 일출(의존)'!$AS$7:$AS$1840,$AN11)+COUNTIF('3. 일출(자체)'!$AM$7:$AM$1837,$AN11))</f>
        <v/>
      </c>
      <c r="AX11" s="310" t="str">
        <f t="shared" ref="AX11:AX25" si="41">IF($AN11="","", IF($AO11="자체","", IF($AO11="지방채", IF($AC11=$AV11, "OK", "@@"),  IF($AO11="지역개발기금", IF($AD11=$AV11,"OK","@@"), "@@"))))</f>
        <v/>
      </c>
      <c r="AY11" s="76"/>
      <c r="AZ11" s="398">
        <f>IF($AK11="","", SUMIFS('3. 일출(의존)'!$AH$7:$AH$1829,'3. 일출(의존)'!$AN$7:$AN$1829,$AK11))</f>
        <v>0</v>
      </c>
      <c r="BA11" s="313">
        <f>IF($AK11="","", COUNTIF('3. 일출(의존)'!$AN$7:$AN$1829,$AK11))</f>
        <v>1</v>
      </c>
      <c r="BB11" s="310" t="str">
        <f t="shared" ref="BB11:BB25" si="42">IF($AK11="", "", IF($AF11=$AZ11,"OK","@@"))</f>
        <v>OK</v>
      </c>
      <c r="BC11" s="398" t="str">
        <f>IF($AN11="","",IF($AO11="지역개발기금",SUMIFS('3. 일출(의존)'!$AK$7:$AK$1840,'3. 일출(의존)'!$AS$7:$AS$1840,$AN11)+SUMIFS('3. 일출(자체)'!$AJ$7:$AJ$1837,'3. 일출(자체)'!$AM$7:$AM$1837,$AN11),IF($AO11="지방채",SUMIFS('3. 일출(의존)'!$AJ$7:$AJ$1840,'3. 일출(의존)'!$AS$7:$AS$1840,$AN11)+SUMIFS('3. 일출(자체)'!$AI$7:$AI$1837,'3. 일출(자체)'!$AM$7:$AM$1837,$AN11),0)))</f>
        <v/>
      </c>
      <c r="BD11" s="313" t="str">
        <f>IF($AN11="","",COUNTIF('3. 일출(의존)'!$AS$7:$AS$1840,$AN11)+COUNTIF('3. 일출(자체)'!$AM$7:$AM$1837,$AN11))</f>
        <v/>
      </c>
      <c r="BE11" s="310" t="str">
        <f t="shared" ref="BE11:BE25" si="43">IF($AN11="","", IF($AO11="자체", "", IF($AO11="지방채", IF($AH11=$BC11, "OK", "@@"),  IF($AO11="지역개발기금", IF($AI11=$BC11,"OK","@@"), "@@"))))</f>
        <v/>
      </c>
    </row>
    <row r="12" spans="1:57" s="19" customFormat="1" ht="80.099999999999994" customHeight="1">
      <c r="A12" s="115" t="str">
        <f>IF(D12="","",COUNTA($C$8:C12)-COUNTBLANK($C$8:C12)+11)</f>
        <v/>
      </c>
      <c r="B12" s="116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16" t="str">
        <f>IF(D12="","",IF(OR(D12="교육지원과",D12="총무과",D12="인사과"),"직접입력",VLOOKUP(D12,구분표!$A$3:$C$258,3,)))</f>
        <v/>
      </c>
      <c r="D12" s="167"/>
      <c r="E12" s="161"/>
      <c r="F12" s="323" t="str">
        <f t="shared" si="22"/>
        <v/>
      </c>
      <c r="G12" s="323" t="str">
        <f t="shared" si="22"/>
        <v/>
      </c>
      <c r="H12" s="161"/>
      <c r="I12" s="116" t="str">
        <f>IF(H12="","",VLOOKUP($H12,구분표!$O$3:$P$168,2,FALSE))</f>
        <v/>
      </c>
      <c r="J12" s="163"/>
      <c r="K12" s="385" t="str">
        <f t="shared" si="23"/>
        <v/>
      </c>
      <c r="L12" s="385" t="str">
        <f t="shared" si="24"/>
        <v/>
      </c>
      <c r="M12" s="387" t="str">
        <f t="shared" si="25"/>
        <v/>
      </c>
      <c r="N12" s="386"/>
      <c r="O12" s="387">
        <f t="shared" si="26"/>
        <v>0</v>
      </c>
      <c r="P12" s="388"/>
      <c r="Q12" s="389">
        <f t="shared" si="27"/>
        <v>0</v>
      </c>
      <c r="R12" s="118" t="str">
        <f t="shared" si="28"/>
        <v>X</v>
      </c>
      <c r="S12" s="164"/>
      <c r="T12" s="270"/>
      <c r="U12" s="165"/>
      <c r="V12" s="152"/>
      <c r="W12" s="165"/>
      <c r="X12" s="165"/>
      <c r="Y12" s="118" t="str">
        <f t="shared" si="29"/>
        <v/>
      </c>
      <c r="Z12" s="44"/>
      <c r="AA12" s="397" t="str">
        <f t="shared" si="30"/>
        <v/>
      </c>
      <c r="AB12" s="397" t="str">
        <f t="shared" si="31"/>
        <v/>
      </c>
      <c r="AC12" s="397" t="str">
        <f t="shared" si="32"/>
        <v/>
      </c>
      <c r="AD12" s="397" t="str">
        <f t="shared" si="33"/>
        <v/>
      </c>
      <c r="AE12" s="45"/>
      <c r="AF12" s="397" t="str">
        <f t="shared" si="34"/>
        <v/>
      </c>
      <c r="AG12" s="397" t="str">
        <f t="shared" si="35"/>
        <v/>
      </c>
      <c r="AH12" s="397" t="str">
        <f t="shared" si="36"/>
        <v/>
      </c>
      <c r="AI12" s="397" t="str">
        <f t="shared" si="37"/>
        <v/>
      </c>
      <c r="AJ12" s="72"/>
      <c r="AK12" s="310" t="str">
        <f>IF($AQ12="","", IF(OR($AL12="", $AL12="도비"), "", CONCATENATE($AQ12,"-",COUNTIF($AQ$8:$AQ12,$AQ12))))</f>
        <v/>
      </c>
      <c r="AL12" s="310" t="str">
        <f t="shared" si="38"/>
        <v/>
      </c>
      <c r="AM12" s="72"/>
      <c r="AN12" s="311" t="str">
        <f>IF($AQ12="","", IF(OR($AO12="", $AO12="국비", $AO12="자체"), "", CONCATENATE($AQ12,"-", $AO12,"-",COUNTIF($AQ$8:$AQ12, $AQ12))))</f>
        <v/>
      </c>
      <c r="AO12" s="311" t="str">
        <f t="shared" si="39"/>
        <v/>
      </c>
      <c r="AP12" s="72"/>
      <c r="AQ12" s="310" t="str">
        <f t="array" ref="AQ12">IF(OR($D12="", $C12="직접입력", $B12="직접입력"),"",INDEX(구분표!$I$2:$I$337, MATCH(1,(구분표!$G$2:$G$337='3. 일입'!$B12)*(구분표!$E$2:$E$337='3. 일입'!$C12)*(구분표!$F$2:$F$337='3. 일입'!$D12),0)))</f>
        <v/>
      </c>
      <c r="AR12" s="72"/>
      <c r="AS12" s="398" t="str">
        <f>IF($AK12="","", SUMIFS('3. 일출(의존)'!$AB$7:$AB$1829,'3. 일출(의존)'!$AN$7:$AN$1829,$AK12))</f>
        <v/>
      </c>
      <c r="AT12" s="313" t="str">
        <f>IF($AK12="","", COUNTIF('3. 일출(의존)'!$AN$7:$AN$1829,$AK12))</f>
        <v/>
      </c>
      <c r="AU12" s="310" t="str">
        <f t="shared" si="40"/>
        <v/>
      </c>
      <c r="AV12" s="398" t="str">
        <f>IF($AN12="","",IF($AO12="지역개발기금",SUMIFS('3. 일출(의존)'!$AE$7:$AE$1840,'3. 일출(의존)'!$AS$7:$AS$1840,$AN12)+SUMIFS('3. 일출(자체)'!$AE$7:$AE$1837,'3. 일출(자체)'!$AM$7:$AM$1837,$AN12),IF($AO12="지방채",SUMIFS('3. 일출(의존)'!$AD$7:$AD$1840,'3. 일출(의존)'!$AS$7:$AS$1840,$AN12)+SUMIFS('3. 일출(자체)'!$AD$7:$AD$1837,'3. 일출(자체)'!$AM$7:$AM$1837,$AN12),0)))</f>
        <v/>
      </c>
      <c r="AW12" s="313" t="str">
        <f>IF($AN12="","", COUNTIF('3. 일출(의존)'!$AS$7:$AS$1840,$AN12)+COUNTIF('3. 일출(자체)'!$AM$7:$AM$1837,$AN12))</f>
        <v/>
      </c>
      <c r="AX12" s="310" t="str">
        <f t="shared" si="41"/>
        <v/>
      </c>
      <c r="AY12" s="76"/>
      <c r="AZ12" s="398" t="str">
        <f>IF($AK12="","", SUMIFS('3. 일출(의존)'!$AH$7:$AH$1829,'3. 일출(의존)'!$AN$7:$AN$1829,$AK12))</f>
        <v/>
      </c>
      <c r="BA12" s="313" t="str">
        <f>IF($AK12="","", COUNTIF('3. 일출(의존)'!$AN$7:$AN$1829,$AK12))</f>
        <v/>
      </c>
      <c r="BB12" s="310" t="str">
        <f t="shared" si="42"/>
        <v/>
      </c>
      <c r="BC12" s="398" t="str">
        <f>IF($AN12="","",IF($AO12="지역개발기금",SUMIFS('3. 일출(의존)'!$AK$7:$AK$1840,'3. 일출(의존)'!$AS$7:$AS$1840,$AN12)+SUMIFS('3. 일출(자체)'!$AJ$7:$AJ$1837,'3. 일출(자체)'!$AM$7:$AM$1837,$AN12),IF($AO12="지방채",SUMIFS('3. 일출(의존)'!$AJ$7:$AJ$1840,'3. 일출(의존)'!$AS$7:$AS$1840,$AN12)+SUMIFS('3. 일출(자체)'!$AI$7:$AI$1837,'3. 일출(자체)'!$AM$7:$AM$1837,$AN12),0)))</f>
        <v/>
      </c>
      <c r="BD12" s="313" t="str">
        <f>IF($AN12="","",COUNTIF('3. 일출(의존)'!$AS$7:$AS$1840,$AN12)+COUNTIF('3. 일출(자체)'!$AM$7:$AM$1837,$AN12))</f>
        <v/>
      </c>
      <c r="BE12" s="310" t="str">
        <f t="shared" si="43"/>
        <v/>
      </c>
    </row>
    <row r="13" spans="1:57" s="19" customFormat="1" ht="80.099999999999994" customHeight="1">
      <c r="A13" s="115" t="str">
        <f>IF(D13="","",COUNTA($C$8:C13)-COUNTBLANK($C$8:C13)+11)</f>
        <v/>
      </c>
      <c r="B13" s="116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16" t="str">
        <f>IF(D13="","",IF(OR(D13="교육지원과",D13="총무과",D13="인사과"),"직접입력",VLOOKUP(D13,구분표!$A$3:$C$258,3,)))</f>
        <v/>
      </c>
      <c r="D13" s="167"/>
      <c r="E13" s="161"/>
      <c r="F13" s="323" t="str">
        <f t="shared" si="22"/>
        <v/>
      </c>
      <c r="G13" s="323" t="str">
        <f t="shared" si="22"/>
        <v/>
      </c>
      <c r="H13" s="161"/>
      <c r="I13" s="116" t="str">
        <f>IF(H13="","",VLOOKUP($H13,구분표!$O$3:$P$168,2,FALSE))</f>
        <v/>
      </c>
      <c r="J13" s="163"/>
      <c r="K13" s="385" t="str">
        <f t="shared" si="23"/>
        <v/>
      </c>
      <c r="L13" s="385" t="str">
        <f t="shared" si="24"/>
        <v/>
      </c>
      <c r="M13" s="387" t="str">
        <f t="shared" si="25"/>
        <v/>
      </c>
      <c r="N13" s="386"/>
      <c r="O13" s="387">
        <f t="shared" si="26"/>
        <v>0</v>
      </c>
      <c r="P13" s="388"/>
      <c r="Q13" s="389">
        <f t="shared" si="27"/>
        <v>0</v>
      </c>
      <c r="R13" s="118" t="str">
        <f t="shared" si="28"/>
        <v>X</v>
      </c>
      <c r="S13" s="164"/>
      <c r="T13" s="270"/>
      <c r="U13" s="165"/>
      <c r="V13" s="152"/>
      <c r="W13" s="165"/>
      <c r="X13" s="165"/>
      <c r="Y13" s="118" t="str">
        <f t="shared" si="29"/>
        <v/>
      </c>
      <c r="Z13" s="44"/>
      <c r="AA13" s="397" t="str">
        <f t="shared" si="30"/>
        <v/>
      </c>
      <c r="AB13" s="397" t="str">
        <f t="shared" si="31"/>
        <v/>
      </c>
      <c r="AC13" s="397" t="str">
        <f t="shared" si="32"/>
        <v/>
      </c>
      <c r="AD13" s="397" t="str">
        <f t="shared" si="33"/>
        <v/>
      </c>
      <c r="AE13" s="45"/>
      <c r="AF13" s="397" t="str">
        <f t="shared" si="34"/>
        <v/>
      </c>
      <c r="AG13" s="397" t="str">
        <f t="shared" si="35"/>
        <v/>
      </c>
      <c r="AH13" s="397" t="str">
        <f t="shared" si="36"/>
        <v/>
      </c>
      <c r="AI13" s="397" t="str">
        <f t="shared" si="37"/>
        <v/>
      </c>
      <c r="AJ13" s="72"/>
      <c r="AK13" s="310" t="str">
        <f>IF($AQ13="","", IF(OR($AL13="", $AL13="도비"), "", CONCATENATE($AQ13,"-",COUNTIF($AQ$8:$AQ13,$AQ13))))</f>
        <v/>
      </c>
      <c r="AL13" s="310" t="str">
        <f t="shared" si="38"/>
        <v/>
      </c>
      <c r="AM13" s="72"/>
      <c r="AN13" s="311" t="str">
        <f>IF($AQ13="","", IF(OR($AO13="", $AO13="국비", $AO13="자체"), "", CONCATENATE($AQ13,"-", $AO13,"-",COUNTIF($AQ$8:$AQ13, $AQ13))))</f>
        <v/>
      </c>
      <c r="AO13" s="311" t="str">
        <f t="shared" si="39"/>
        <v/>
      </c>
      <c r="AP13" s="72"/>
      <c r="AQ13" s="310" t="str">
        <f t="array" ref="AQ13">IF(OR($D13="", $C13="직접입력", $B13="직접입력"),"",INDEX(구분표!$I$2:$I$337, MATCH(1,(구분표!$G$2:$G$337='3. 일입'!$B13)*(구분표!$E$2:$E$337='3. 일입'!$C13)*(구분표!$F$2:$F$337='3. 일입'!$D13),0)))</f>
        <v/>
      </c>
      <c r="AR13" s="72"/>
      <c r="AS13" s="398" t="str">
        <f>IF($AK13="","", SUMIFS('3. 일출(의존)'!$AB$7:$AB$1829,'3. 일출(의존)'!$AN$7:$AN$1829,$AK13))</f>
        <v/>
      </c>
      <c r="AT13" s="313" t="str">
        <f>IF($AK13="","", COUNTIF('3. 일출(의존)'!$AN$7:$AN$1829,$AK13))</f>
        <v/>
      </c>
      <c r="AU13" s="310" t="str">
        <f t="shared" si="40"/>
        <v/>
      </c>
      <c r="AV13" s="398" t="str">
        <f>IF($AN13="","",IF($AO13="지역개발기금",SUMIFS('3. 일출(의존)'!$AE$7:$AE$1840,'3. 일출(의존)'!$AS$7:$AS$1840,$AN13)+SUMIFS('3. 일출(자체)'!$AE$7:$AE$1837,'3. 일출(자체)'!$AM$7:$AM$1837,$AN13),IF($AO13="지방채",SUMIFS('3. 일출(의존)'!$AD$7:$AD$1840,'3. 일출(의존)'!$AS$7:$AS$1840,$AN13)+SUMIFS('3. 일출(자체)'!$AD$7:$AD$1837,'3. 일출(자체)'!$AM$7:$AM$1837,$AN13),0)))</f>
        <v/>
      </c>
      <c r="AW13" s="313" t="str">
        <f>IF($AN13="","", COUNTIF('3. 일출(의존)'!$AS$7:$AS$1840,$AN13)+COUNTIF('3. 일출(자체)'!$AM$7:$AM$1837,$AN13))</f>
        <v/>
      </c>
      <c r="AX13" s="310" t="str">
        <f t="shared" si="41"/>
        <v/>
      </c>
      <c r="AY13" s="76"/>
      <c r="AZ13" s="398" t="str">
        <f>IF($AK13="","", SUMIFS('3. 일출(의존)'!$AH$7:$AH$1829,'3. 일출(의존)'!$AN$7:$AN$1829,$AK13))</f>
        <v/>
      </c>
      <c r="BA13" s="313" t="str">
        <f>IF($AK13="","", COUNTIF('3. 일출(의존)'!$AN$7:$AN$1829,$AK13))</f>
        <v/>
      </c>
      <c r="BB13" s="310" t="str">
        <f t="shared" si="42"/>
        <v/>
      </c>
      <c r="BC13" s="398" t="str">
        <f>IF($AN13="","",IF($AO13="지역개발기금",SUMIFS('3. 일출(의존)'!$AK$7:$AK$1840,'3. 일출(의존)'!$AS$7:$AS$1840,$AN13)+SUMIFS('3. 일출(자체)'!$AJ$7:$AJ$1837,'3. 일출(자체)'!$AM$7:$AM$1837,$AN13),IF($AO13="지방채",SUMIFS('3. 일출(의존)'!$AJ$7:$AJ$1840,'3. 일출(의존)'!$AS$7:$AS$1840,$AN13)+SUMIFS('3. 일출(자체)'!$AI$7:$AI$1837,'3. 일출(자체)'!$AM$7:$AM$1837,$AN13),0)))</f>
        <v/>
      </c>
      <c r="BD13" s="313" t="str">
        <f>IF($AN13="","",COUNTIF('3. 일출(의존)'!$AS$7:$AS$1840,$AN13)+COUNTIF('3. 일출(자체)'!$AM$7:$AM$1837,$AN13))</f>
        <v/>
      </c>
      <c r="BE13" s="310" t="str">
        <f t="shared" si="43"/>
        <v/>
      </c>
    </row>
    <row r="14" spans="1:57" s="19" customFormat="1" ht="80.099999999999994" customHeight="1">
      <c r="A14" s="115" t="str">
        <f>IF(D14="","",COUNTA($C$8:C14)-COUNTBLANK($C$8:C14)+11)</f>
        <v/>
      </c>
      <c r="B14" s="116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16" t="str">
        <f>IF(D14="","",IF(OR(D14="교육지원과",D14="총무과",D14="인사과"),"직접입력",VLOOKUP(D14,구분표!$A$3:$C$258,3,)))</f>
        <v/>
      </c>
      <c r="D14" s="167"/>
      <c r="E14" s="161"/>
      <c r="F14" s="323" t="str">
        <f t="shared" si="22"/>
        <v/>
      </c>
      <c r="G14" s="323" t="str">
        <f t="shared" si="22"/>
        <v/>
      </c>
      <c r="H14" s="161"/>
      <c r="I14" s="116" t="str">
        <f>IF(H14="","",VLOOKUP($H14,구분표!$O$3:$P$168,2,FALSE))</f>
        <v/>
      </c>
      <c r="J14" s="163"/>
      <c r="K14" s="385" t="str">
        <f t="shared" si="23"/>
        <v/>
      </c>
      <c r="L14" s="385" t="str">
        <f t="shared" si="24"/>
        <v/>
      </c>
      <c r="M14" s="387" t="str">
        <f t="shared" si="25"/>
        <v/>
      </c>
      <c r="N14" s="386"/>
      <c r="O14" s="387">
        <f t="shared" si="26"/>
        <v>0</v>
      </c>
      <c r="P14" s="388"/>
      <c r="Q14" s="389">
        <f t="shared" si="27"/>
        <v>0</v>
      </c>
      <c r="R14" s="118" t="str">
        <f t="shared" si="28"/>
        <v>X</v>
      </c>
      <c r="S14" s="164"/>
      <c r="T14" s="270"/>
      <c r="U14" s="165"/>
      <c r="V14" s="152"/>
      <c r="W14" s="165"/>
      <c r="X14" s="165"/>
      <c r="Y14" s="118" t="str">
        <f t="shared" si="29"/>
        <v/>
      </c>
      <c r="Z14" s="44"/>
      <c r="AA14" s="397" t="str">
        <f t="shared" si="30"/>
        <v/>
      </c>
      <c r="AB14" s="397" t="str">
        <f t="shared" si="31"/>
        <v/>
      </c>
      <c r="AC14" s="397" t="str">
        <f t="shared" si="32"/>
        <v/>
      </c>
      <c r="AD14" s="397" t="str">
        <f t="shared" si="33"/>
        <v/>
      </c>
      <c r="AE14" s="45"/>
      <c r="AF14" s="397" t="str">
        <f t="shared" si="34"/>
        <v/>
      </c>
      <c r="AG14" s="397" t="str">
        <f t="shared" si="35"/>
        <v/>
      </c>
      <c r="AH14" s="397" t="str">
        <f t="shared" si="36"/>
        <v/>
      </c>
      <c r="AI14" s="397" t="str">
        <f t="shared" si="37"/>
        <v/>
      </c>
      <c r="AJ14" s="72"/>
      <c r="AK14" s="310" t="str">
        <f>IF($AQ14="","", IF(OR($AL14="", $AL14="도비"), "", CONCATENATE($AQ14,"-",COUNTIF($AQ$8:$AQ14,$AQ14))))</f>
        <v/>
      </c>
      <c r="AL14" s="310" t="str">
        <f t="shared" si="38"/>
        <v/>
      </c>
      <c r="AM14" s="72"/>
      <c r="AN14" s="311" t="str">
        <f>IF($AQ14="","", IF(OR($AO14="", $AO14="국비", $AO14="자체"), "", CONCATENATE($AQ14,"-", $AO14,"-",COUNTIF($AQ$8:$AQ14, $AQ14))))</f>
        <v/>
      </c>
      <c r="AO14" s="311" t="str">
        <f t="shared" si="39"/>
        <v/>
      </c>
      <c r="AP14" s="72"/>
      <c r="AQ14" s="310" t="str">
        <f t="array" ref="AQ14">IF(OR($D14="", $C14="직접입력", $B14="직접입력"),"",INDEX(구분표!$I$2:$I$337, MATCH(1,(구분표!$G$2:$G$337='3. 일입'!$B14)*(구분표!$E$2:$E$337='3. 일입'!$C14)*(구분표!$F$2:$F$337='3. 일입'!$D14),0)))</f>
        <v/>
      </c>
      <c r="AR14" s="72"/>
      <c r="AS14" s="398" t="str">
        <f>IF($AK14="","", SUMIFS('3. 일출(의존)'!$AB$7:$AB$1829,'3. 일출(의존)'!$AN$7:$AN$1829,$AK14))</f>
        <v/>
      </c>
      <c r="AT14" s="313" t="str">
        <f>IF($AK14="","", COUNTIF('3. 일출(의존)'!$AN$7:$AN$1829,$AK14))</f>
        <v/>
      </c>
      <c r="AU14" s="310" t="str">
        <f t="shared" si="40"/>
        <v/>
      </c>
      <c r="AV14" s="398" t="str">
        <f>IF($AN14="","",IF($AO14="지역개발기금",SUMIFS('3. 일출(의존)'!$AE$7:$AE$1840,'3. 일출(의존)'!$AS$7:$AS$1840,$AN14)+SUMIFS('3. 일출(자체)'!$AE$7:$AE$1837,'3. 일출(자체)'!$AM$7:$AM$1837,$AN14),IF($AO14="지방채",SUMIFS('3. 일출(의존)'!$AD$7:$AD$1840,'3. 일출(의존)'!$AS$7:$AS$1840,$AN14)+SUMIFS('3. 일출(자체)'!$AD$7:$AD$1837,'3. 일출(자체)'!$AM$7:$AM$1837,$AN14),0)))</f>
        <v/>
      </c>
      <c r="AW14" s="313" t="str">
        <f>IF($AN14="","", COUNTIF('3. 일출(의존)'!$AS$7:$AS$1840,$AN14)+COUNTIF('3. 일출(자체)'!$AM$7:$AM$1837,$AN14))</f>
        <v/>
      </c>
      <c r="AX14" s="310" t="str">
        <f t="shared" si="41"/>
        <v/>
      </c>
      <c r="AY14" s="76"/>
      <c r="AZ14" s="398" t="str">
        <f>IF($AK14="","", SUMIFS('3. 일출(의존)'!$AH$7:$AH$1829,'3. 일출(의존)'!$AN$7:$AN$1829,$AK14))</f>
        <v/>
      </c>
      <c r="BA14" s="313" t="str">
        <f>IF($AK14="","", COUNTIF('3. 일출(의존)'!$AN$7:$AN$1829,$AK14))</f>
        <v/>
      </c>
      <c r="BB14" s="310" t="str">
        <f t="shared" si="42"/>
        <v/>
      </c>
      <c r="BC14" s="398" t="str">
        <f>IF($AN14="","",IF($AO14="지역개발기금",SUMIFS('3. 일출(의존)'!$AK$7:$AK$1840,'3. 일출(의존)'!$AS$7:$AS$1840,$AN14)+SUMIFS('3. 일출(자체)'!$AJ$7:$AJ$1837,'3. 일출(자체)'!$AM$7:$AM$1837,$AN14),IF($AO14="지방채",SUMIFS('3. 일출(의존)'!$AJ$7:$AJ$1840,'3. 일출(의존)'!$AS$7:$AS$1840,$AN14)+SUMIFS('3. 일출(자체)'!$AI$7:$AI$1837,'3. 일출(자체)'!$AM$7:$AM$1837,$AN14),0)))</f>
        <v/>
      </c>
      <c r="BD14" s="313" t="str">
        <f>IF($AN14="","",COUNTIF('3. 일출(의존)'!$AS$7:$AS$1840,$AN14)+COUNTIF('3. 일출(자체)'!$AM$7:$AM$1837,$AN14))</f>
        <v/>
      </c>
      <c r="BE14" s="310" t="str">
        <f t="shared" si="43"/>
        <v/>
      </c>
    </row>
    <row r="15" spans="1:57" s="19" customFormat="1" ht="80.099999999999994" customHeight="1">
      <c r="A15" s="115" t="str">
        <f>IF(D15="","",COUNTA($C$8:C15)-COUNTBLANK($C$8:C15)+11)</f>
        <v/>
      </c>
      <c r="B15" s="116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16" t="str">
        <f>IF(D15="","",IF(OR(D15="교육지원과",D15="총무과",D15="인사과"),"직접입력",VLOOKUP(D15,구분표!$A$3:$C$258,3,)))</f>
        <v/>
      </c>
      <c r="D15" s="167"/>
      <c r="E15" s="161"/>
      <c r="F15" s="323" t="str">
        <f t="shared" si="22"/>
        <v/>
      </c>
      <c r="G15" s="323" t="str">
        <f t="shared" si="22"/>
        <v/>
      </c>
      <c r="H15" s="161"/>
      <c r="I15" s="116" t="str">
        <f>IF(H15="","",VLOOKUP($H15,구분표!$O$3:$P$168,2,FALSE))</f>
        <v/>
      </c>
      <c r="J15" s="163"/>
      <c r="K15" s="385" t="str">
        <f t="shared" si="23"/>
        <v/>
      </c>
      <c r="L15" s="385" t="str">
        <f t="shared" si="24"/>
        <v/>
      </c>
      <c r="M15" s="387" t="str">
        <f t="shared" si="25"/>
        <v/>
      </c>
      <c r="N15" s="386"/>
      <c r="O15" s="387">
        <f t="shared" si="26"/>
        <v>0</v>
      </c>
      <c r="P15" s="388"/>
      <c r="Q15" s="389">
        <f t="shared" si="27"/>
        <v>0</v>
      </c>
      <c r="R15" s="118" t="str">
        <f t="shared" si="28"/>
        <v>X</v>
      </c>
      <c r="S15" s="164"/>
      <c r="T15" s="270"/>
      <c r="U15" s="165"/>
      <c r="V15" s="152"/>
      <c r="W15" s="165"/>
      <c r="X15" s="165"/>
      <c r="Y15" s="118" t="str">
        <f t="shared" si="29"/>
        <v/>
      </c>
      <c r="Z15" s="44"/>
      <c r="AA15" s="397" t="str">
        <f t="shared" si="30"/>
        <v/>
      </c>
      <c r="AB15" s="397" t="str">
        <f t="shared" si="31"/>
        <v/>
      </c>
      <c r="AC15" s="397" t="str">
        <f t="shared" si="32"/>
        <v/>
      </c>
      <c r="AD15" s="397" t="str">
        <f t="shared" si="33"/>
        <v/>
      </c>
      <c r="AE15" s="45"/>
      <c r="AF15" s="397" t="str">
        <f t="shared" si="34"/>
        <v/>
      </c>
      <c r="AG15" s="397" t="str">
        <f t="shared" si="35"/>
        <v/>
      </c>
      <c r="AH15" s="397" t="str">
        <f t="shared" si="36"/>
        <v/>
      </c>
      <c r="AI15" s="397" t="str">
        <f t="shared" si="37"/>
        <v/>
      </c>
      <c r="AJ15" s="72"/>
      <c r="AK15" s="310" t="str">
        <f>IF($AQ15="","", IF(OR($AL15="", $AL15="도비"), "", CONCATENATE($AQ15,"-",COUNTIF($AQ$8:$AQ15,$AQ15))))</f>
        <v/>
      </c>
      <c r="AL15" s="310" t="str">
        <f t="shared" si="38"/>
        <v/>
      </c>
      <c r="AM15" s="72"/>
      <c r="AN15" s="311" t="str">
        <f>IF($AQ15="","", IF(OR($AO15="", $AO15="국비", $AO15="자체"), "", CONCATENATE($AQ15,"-", $AO15,"-",COUNTIF($AQ$8:$AQ15, $AQ15))))</f>
        <v/>
      </c>
      <c r="AO15" s="311" t="str">
        <f t="shared" si="39"/>
        <v/>
      </c>
      <c r="AP15" s="72"/>
      <c r="AQ15" s="310" t="str">
        <f t="array" ref="AQ15">IF(OR($D15="", $C15="직접입력", $B15="직접입력"),"",INDEX(구분표!$I$2:$I$337, MATCH(1,(구분표!$G$2:$G$337='3. 일입'!$B15)*(구분표!$E$2:$E$337='3. 일입'!$C15)*(구분표!$F$2:$F$337='3. 일입'!$D15),0)))</f>
        <v/>
      </c>
      <c r="AR15" s="72"/>
      <c r="AS15" s="398" t="str">
        <f>IF($AK15="","", SUMIFS('3. 일출(의존)'!$AB$7:$AB$1829,'3. 일출(의존)'!$AN$7:$AN$1829,$AK15))</f>
        <v/>
      </c>
      <c r="AT15" s="313" t="str">
        <f>IF($AK15="","", COUNTIF('3. 일출(의존)'!$AN$7:$AN$1829,$AK15))</f>
        <v/>
      </c>
      <c r="AU15" s="310" t="str">
        <f t="shared" si="40"/>
        <v/>
      </c>
      <c r="AV15" s="398" t="str">
        <f>IF($AN15="","",IF($AO15="지역개발기금",SUMIFS('3. 일출(의존)'!$AE$7:$AE$1840,'3. 일출(의존)'!$AS$7:$AS$1840,$AN15)+SUMIFS('3. 일출(자체)'!$AE$7:$AE$1837,'3. 일출(자체)'!$AM$7:$AM$1837,$AN15),IF($AO15="지방채",SUMIFS('3. 일출(의존)'!$AD$7:$AD$1840,'3. 일출(의존)'!$AS$7:$AS$1840,$AN15)+SUMIFS('3. 일출(자체)'!$AD$7:$AD$1837,'3. 일출(자체)'!$AM$7:$AM$1837,$AN15),0)))</f>
        <v/>
      </c>
      <c r="AW15" s="313" t="str">
        <f>IF($AN15="","", COUNTIF('3. 일출(의존)'!$AS$7:$AS$1840,$AN15)+COUNTIF('3. 일출(자체)'!$AM$7:$AM$1837,$AN15))</f>
        <v/>
      </c>
      <c r="AX15" s="310" t="str">
        <f t="shared" si="41"/>
        <v/>
      </c>
      <c r="AY15" s="76"/>
      <c r="AZ15" s="398" t="str">
        <f>IF($AK15="","", SUMIFS('3. 일출(의존)'!$AH$7:$AH$1829,'3. 일출(의존)'!$AN$7:$AN$1829,$AK15))</f>
        <v/>
      </c>
      <c r="BA15" s="313" t="str">
        <f>IF($AK15="","", COUNTIF('3. 일출(의존)'!$AN$7:$AN$1829,$AK15))</f>
        <v/>
      </c>
      <c r="BB15" s="310" t="str">
        <f t="shared" si="42"/>
        <v/>
      </c>
      <c r="BC15" s="398" t="str">
        <f>IF($AN15="","",IF($AO15="지역개발기금",SUMIFS('3. 일출(의존)'!$AK$7:$AK$1840,'3. 일출(의존)'!$AS$7:$AS$1840,$AN15)+SUMIFS('3. 일출(자체)'!$AJ$7:$AJ$1837,'3. 일출(자체)'!$AM$7:$AM$1837,$AN15),IF($AO15="지방채",SUMIFS('3. 일출(의존)'!$AJ$7:$AJ$1840,'3. 일출(의존)'!$AS$7:$AS$1840,$AN15)+SUMIFS('3. 일출(자체)'!$AI$7:$AI$1837,'3. 일출(자체)'!$AM$7:$AM$1837,$AN15),0)))</f>
        <v/>
      </c>
      <c r="BD15" s="313" t="str">
        <f>IF($AN15="","",COUNTIF('3. 일출(의존)'!$AS$7:$AS$1840,$AN15)+COUNTIF('3. 일출(자체)'!$AM$7:$AM$1837,$AN15))</f>
        <v/>
      </c>
      <c r="BE15" s="310" t="str">
        <f t="shared" si="43"/>
        <v/>
      </c>
    </row>
    <row r="16" spans="1:57" s="19" customFormat="1" ht="80.099999999999994" customHeight="1">
      <c r="A16" s="115" t="str">
        <f>IF(D16="","",COUNTA($C$8:C16)-COUNTBLANK($C$8:C16)+11)</f>
        <v/>
      </c>
      <c r="B16" s="116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16" t="str">
        <f>IF(D16="","",IF(OR(D16="교육지원과",D16="총무과",D16="인사과"),"직접입력",VLOOKUP(D16,구분표!$A$3:$C$258,3,)))</f>
        <v/>
      </c>
      <c r="D16" s="167"/>
      <c r="E16" s="161"/>
      <c r="F16" s="323" t="str">
        <f t="shared" si="22"/>
        <v/>
      </c>
      <c r="G16" s="323" t="str">
        <f t="shared" si="22"/>
        <v/>
      </c>
      <c r="H16" s="161"/>
      <c r="I16" s="116" t="str">
        <f>IF(H16="","",VLOOKUP($H16,구분표!$O$3:$P$168,2,FALSE))</f>
        <v/>
      </c>
      <c r="J16" s="163"/>
      <c r="K16" s="385" t="str">
        <f t="shared" si="23"/>
        <v/>
      </c>
      <c r="L16" s="385" t="str">
        <f t="shared" si="24"/>
        <v/>
      </c>
      <c r="M16" s="387" t="str">
        <f t="shared" si="25"/>
        <v/>
      </c>
      <c r="N16" s="386"/>
      <c r="O16" s="387">
        <f t="shared" si="26"/>
        <v>0</v>
      </c>
      <c r="P16" s="388"/>
      <c r="Q16" s="389">
        <f t="shared" si="27"/>
        <v>0</v>
      </c>
      <c r="R16" s="118" t="str">
        <f t="shared" si="28"/>
        <v>X</v>
      </c>
      <c r="S16" s="164"/>
      <c r="T16" s="270"/>
      <c r="U16" s="165"/>
      <c r="V16" s="152"/>
      <c r="W16" s="165"/>
      <c r="X16" s="165"/>
      <c r="Y16" s="118" t="str">
        <f t="shared" si="29"/>
        <v/>
      </c>
      <c r="Z16" s="44"/>
      <c r="AA16" s="397" t="str">
        <f t="shared" si="30"/>
        <v/>
      </c>
      <c r="AB16" s="397" t="str">
        <f t="shared" si="31"/>
        <v/>
      </c>
      <c r="AC16" s="397" t="str">
        <f t="shared" si="32"/>
        <v/>
      </c>
      <c r="AD16" s="397" t="str">
        <f t="shared" si="33"/>
        <v/>
      </c>
      <c r="AE16" s="45"/>
      <c r="AF16" s="397" t="str">
        <f t="shared" si="34"/>
        <v/>
      </c>
      <c r="AG16" s="397" t="str">
        <f t="shared" si="35"/>
        <v/>
      </c>
      <c r="AH16" s="397" t="str">
        <f t="shared" si="36"/>
        <v/>
      </c>
      <c r="AI16" s="397" t="str">
        <f t="shared" si="37"/>
        <v/>
      </c>
      <c r="AJ16" s="72"/>
      <c r="AK16" s="310" t="str">
        <f>IF($AQ16="","", IF(OR($AL16="", $AL16="도비"), "", CONCATENATE($AQ16,"-",COUNTIF($AQ$8:$AQ16,$AQ16))))</f>
        <v/>
      </c>
      <c r="AL16" s="310" t="str">
        <f t="shared" si="38"/>
        <v/>
      </c>
      <c r="AM16" s="72"/>
      <c r="AN16" s="311" t="str">
        <f>IF($AQ16="","", IF(OR($AO16="", $AO16="국비", $AO16="자체"), "", CONCATENATE($AQ16,"-", $AO16,"-",COUNTIF($AQ$8:$AQ16, $AQ16))))</f>
        <v/>
      </c>
      <c r="AO16" s="311" t="str">
        <f t="shared" si="39"/>
        <v/>
      </c>
      <c r="AP16" s="72"/>
      <c r="AQ16" s="310" t="str">
        <f t="array" ref="AQ16">IF(OR($D16="", $C16="직접입력", $B16="직접입력"),"",INDEX(구분표!$I$2:$I$337, MATCH(1,(구분표!$G$2:$G$337='3. 일입'!$B16)*(구분표!$E$2:$E$337='3. 일입'!$C16)*(구분표!$F$2:$F$337='3. 일입'!$D16),0)))</f>
        <v/>
      </c>
      <c r="AR16" s="72"/>
      <c r="AS16" s="398" t="str">
        <f>IF($AK16="","", SUMIFS('3. 일출(의존)'!$AB$7:$AB$1829,'3. 일출(의존)'!$AN$7:$AN$1829,$AK16))</f>
        <v/>
      </c>
      <c r="AT16" s="313" t="str">
        <f>IF($AK16="","", COUNTIF('3. 일출(의존)'!$AN$7:$AN$1829,$AK16))</f>
        <v/>
      </c>
      <c r="AU16" s="310" t="str">
        <f t="shared" si="40"/>
        <v/>
      </c>
      <c r="AV16" s="398" t="str">
        <f>IF($AN16="","",IF($AO16="지역개발기금",SUMIFS('3. 일출(의존)'!$AE$7:$AE$1840,'3. 일출(의존)'!$AS$7:$AS$1840,$AN16)+SUMIFS('3. 일출(자체)'!$AE$7:$AE$1837,'3. 일출(자체)'!$AM$7:$AM$1837,$AN16),IF($AO16="지방채",SUMIFS('3. 일출(의존)'!$AD$7:$AD$1840,'3. 일출(의존)'!$AS$7:$AS$1840,$AN16)+SUMIFS('3. 일출(자체)'!$AD$7:$AD$1837,'3. 일출(자체)'!$AM$7:$AM$1837,$AN16),0)))</f>
        <v/>
      </c>
      <c r="AW16" s="313" t="str">
        <f>IF($AN16="","", COUNTIF('3. 일출(의존)'!$AS$7:$AS$1840,$AN16)+COUNTIF('3. 일출(자체)'!$AM$7:$AM$1837,$AN16))</f>
        <v/>
      </c>
      <c r="AX16" s="310" t="str">
        <f t="shared" si="41"/>
        <v/>
      </c>
      <c r="AY16" s="76"/>
      <c r="AZ16" s="398" t="str">
        <f>IF($AK16="","", SUMIFS('3. 일출(의존)'!$AH$7:$AH$1829,'3. 일출(의존)'!$AN$7:$AN$1829,$AK16))</f>
        <v/>
      </c>
      <c r="BA16" s="313" t="str">
        <f>IF($AK16="","", COUNTIF('3. 일출(의존)'!$AN$7:$AN$1829,$AK16))</f>
        <v/>
      </c>
      <c r="BB16" s="310" t="str">
        <f t="shared" si="42"/>
        <v/>
      </c>
      <c r="BC16" s="398" t="str">
        <f>IF($AN16="","",IF($AO16="지역개발기금",SUMIFS('3. 일출(의존)'!$AK$7:$AK$1840,'3. 일출(의존)'!$AS$7:$AS$1840,$AN16)+SUMIFS('3. 일출(자체)'!$AJ$7:$AJ$1837,'3. 일출(자체)'!$AM$7:$AM$1837,$AN16),IF($AO16="지방채",SUMIFS('3. 일출(의존)'!$AJ$7:$AJ$1840,'3. 일출(의존)'!$AS$7:$AS$1840,$AN16)+SUMIFS('3. 일출(자체)'!$AI$7:$AI$1837,'3. 일출(자체)'!$AM$7:$AM$1837,$AN16),0)))</f>
        <v/>
      </c>
      <c r="BD16" s="313" t="str">
        <f>IF($AN16="","",COUNTIF('3. 일출(의존)'!$AS$7:$AS$1840,$AN16)+COUNTIF('3. 일출(자체)'!$AM$7:$AM$1837,$AN16))</f>
        <v/>
      </c>
      <c r="BE16" s="310" t="str">
        <f t="shared" si="43"/>
        <v/>
      </c>
    </row>
    <row r="17" spans="1:57" s="19" customFormat="1" ht="80.099999999999994" customHeight="1">
      <c r="A17" s="115" t="str">
        <f>IF(D17="","",COUNTA($C$8:C17)-COUNTBLANK($C$8:C17)+11)</f>
        <v/>
      </c>
      <c r="B17" s="116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16" t="str">
        <f>IF(D17="","",IF(OR(D17="교육지원과",D17="총무과",D17="인사과"),"직접입력",VLOOKUP(D17,구분표!$A$3:$C$258,3,)))</f>
        <v/>
      </c>
      <c r="D17" s="167"/>
      <c r="E17" s="161"/>
      <c r="F17" s="323" t="str">
        <f t="shared" si="22"/>
        <v/>
      </c>
      <c r="G17" s="323" t="str">
        <f t="shared" si="22"/>
        <v/>
      </c>
      <c r="H17" s="161"/>
      <c r="I17" s="116" t="str">
        <f>IF(H17="","",VLOOKUP($H17,구분표!$O$3:$P$168,2,FALSE))</f>
        <v/>
      </c>
      <c r="J17" s="163"/>
      <c r="K17" s="385" t="str">
        <f t="shared" si="23"/>
        <v/>
      </c>
      <c r="L17" s="385" t="str">
        <f t="shared" si="24"/>
        <v/>
      </c>
      <c r="M17" s="387" t="str">
        <f t="shared" si="25"/>
        <v/>
      </c>
      <c r="N17" s="386"/>
      <c r="O17" s="387">
        <f t="shared" si="26"/>
        <v>0</v>
      </c>
      <c r="P17" s="388"/>
      <c r="Q17" s="389">
        <f t="shared" si="27"/>
        <v>0</v>
      </c>
      <c r="R17" s="118" t="str">
        <f t="shared" si="28"/>
        <v>X</v>
      </c>
      <c r="S17" s="164"/>
      <c r="T17" s="270"/>
      <c r="U17" s="165"/>
      <c r="V17" s="152"/>
      <c r="W17" s="165"/>
      <c r="X17" s="165"/>
      <c r="Y17" s="118" t="str">
        <f t="shared" si="29"/>
        <v/>
      </c>
      <c r="Z17" s="44"/>
      <c r="AA17" s="397" t="str">
        <f t="shared" si="30"/>
        <v/>
      </c>
      <c r="AB17" s="397" t="str">
        <f t="shared" si="31"/>
        <v/>
      </c>
      <c r="AC17" s="397" t="str">
        <f t="shared" si="32"/>
        <v/>
      </c>
      <c r="AD17" s="397" t="str">
        <f t="shared" si="33"/>
        <v/>
      </c>
      <c r="AE17" s="45"/>
      <c r="AF17" s="397" t="str">
        <f t="shared" si="34"/>
        <v/>
      </c>
      <c r="AG17" s="397" t="str">
        <f t="shared" si="35"/>
        <v/>
      </c>
      <c r="AH17" s="397" t="str">
        <f t="shared" si="36"/>
        <v/>
      </c>
      <c r="AI17" s="397" t="str">
        <f t="shared" si="37"/>
        <v/>
      </c>
      <c r="AJ17" s="72"/>
      <c r="AK17" s="310" t="str">
        <f>IF($AQ17="","", IF(OR($AL17="", $AL17="도비"), "", CONCATENATE($AQ17,"-",COUNTIF($AQ$8:$AQ17,$AQ17))))</f>
        <v/>
      </c>
      <c r="AL17" s="310" t="str">
        <f t="shared" si="38"/>
        <v/>
      </c>
      <c r="AM17" s="72"/>
      <c r="AN17" s="311" t="str">
        <f>IF($AQ17="","", IF(OR($AO17="", $AO17="국비", $AO17="자체"), "", CONCATENATE($AQ17,"-", $AO17,"-",COUNTIF($AQ$8:$AQ17, $AQ17))))</f>
        <v/>
      </c>
      <c r="AO17" s="311" t="str">
        <f t="shared" si="39"/>
        <v/>
      </c>
      <c r="AP17" s="72"/>
      <c r="AQ17" s="310" t="str">
        <f t="array" ref="AQ17">IF(OR($D17="", $C17="직접입력", $B17="직접입력"),"",INDEX(구분표!$I$2:$I$337, MATCH(1,(구분표!$G$2:$G$337='3. 일입'!$B17)*(구분표!$E$2:$E$337='3. 일입'!$C17)*(구분표!$F$2:$F$337='3. 일입'!$D17),0)))</f>
        <v/>
      </c>
      <c r="AR17" s="72"/>
      <c r="AS17" s="398" t="str">
        <f>IF($AK17="","", SUMIFS('3. 일출(의존)'!$AB$7:$AB$1829,'3. 일출(의존)'!$AN$7:$AN$1829,$AK17))</f>
        <v/>
      </c>
      <c r="AT17" s="313" t="str">
        <f>IF($AK17="","", COUNTIF('3. 일출(의존)'!$AN$7:$AN$1829,$AK17))</f>
        <v/>
      </c>
      <c r="AU17" s="310" t="str">
        <f t="shared" si="40"/>
        <v/>
      </c>
      <c r="AV17" s="398" t="str">
        <f>IF($AN17="","",IF($AO17="지역개발기금",SUMIFS('3. 일출(의존)'!$AE$7:$AE$1840,'3. 일출(의존)'!$AS$7:$AS$1840,$AN17)+SUMIFS('3. 일출(자체)'!$AE$7:$AE$1837,'3. 일출(자체)'!$AM$7:$AM$1837,$AN17),IF($AO17="지방채",SUMIFS('3. 일출(의존)'!$AD$7:$AD$1840,'3. 일출(의존)'!$AS$7:$AS$1840,$AN17)+SUMIFS('3. 일출(자체)'!$AD$7:$AD$1837,'3. 일출(자체)'!$AM$7:$AM$1837,$AN17),0)))</f>
        <v/>
      </c>
      <c r="AW17" s="313" t="str">
        <f>IF($AN17="","", COUNTIF('3. 일출(의존)'!$AS$7:$AS$1840,$AN17)+COUNTIF('3. 일출(자체)'!$AM$7:$AM$1837,$AN17))</f>
        <v/>
      </c>
      <c r="AX17" s="310" t="str">
        <f t="shared" si="41"/>
        <v/>
      </c>
      <c r="AY17" s="76"/>
      <c r="AZ17" s="398" t="str">
        <f>IF($AK17="","", SUMIFS('3. 일출(의존)'!$AH$7:$AH$1829,'3. 일출(의존)'!$AN$7:$AN$1829,$AK17))</f>
        <v/>
      </c>
      <c r="BA17" s="313" t="str">
        <f>IF($AK17="","", COUNTIF('3. 일출(의존)'!$AN$7:$AN$1829,$AK17))</f>
        <v/>
      </c>
      <c r="BB17" s="310" t="str">
        <f t="shared" si="42"/>
        <v/>
      </c>
      <c r="BC17" s="398" t="str">
        <f>IF($AN17="","",IF($AO17="지역개발기금",SUMIFS('3. 일출(의존)'!$AK$7:$AK$1840,'3. 일출(의존)'!$AS$7:$AS$1840,$AN17)+SUMIFS('3. 일출(자체)'!$AJ$7:$AJ$1837,'3. 일출(자체)'!$AM$7:$AM$1837,$AN17),IF($AO17="지방채",SUMIFS('3. 일출(의존)'!$AJ$7:$AJ$1840,'3. 일출(의존)'!$AS$7:$AS$1840,$AN17)+SUMIFS('3. 일출(자체)'!$AI$7:$AI$1837,'3. 일출(자체)'!$AM$7:$AM$1837,$AN17),0)))</f>
        <v/>
      </c>
      <c r="BD17" s="313" t="str">
        <f>IF($AN17="","",COUNTIF('3. 일출(의존)'!$AS$7:$AS$1840,$AN17)+COUNTIF('3. 일출(자체)'!$AM$7:$AM$1837,$AN17))</f>
        <v/>
      </c>
      <c r="BE17" s="310" t="str">
        <f t="shared" si="43"/>
        <v/>
      </c>
    </row>
    <row r="18" spans="1:57" s="19" customFormat="1" ht="80.099999999999994" customHeight="1">
      <c r="A18" s="115" t="str">
        <f>IF(D18="","",COUNTA($C$8:C18)-COUNTBLANK($C$8:C18)+11)</f>
        <v/>
      </c>
      <c r="B18" s="116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16" t="str">
        <f>IF(D18="","",IF(OR(D18="교육지원과",D18="총무과",D18="인사과"),"직접입력",VLOOKUP(D18,구분표!$A$3:$C$258,3,)))</f>
        <v/>
      </c>
      <c r="D18" s="167"/>
      <c r="E18" s="161"/>
      <c r="F18" s="323" t="str">
        <f t="shared" si="22"/>
        <v/>
      </c>
      <c r="G18" s="323" t="str">
        <f t="shared" si="22"/>
        <v/>
      </c>
      <c r="H18" s="161"/>
      <c r="I18" s="116" t="str">
        <f>IF(H18="","",VLOOKUP($H18,구분표!$O$3:$P$168,2,FALSE))</f>
        <v/>
      </c>
      <c r="J18" s="163"/>
      <c r="K18" s="385" t="str">
        <f t="shared" si="23"/>
        <v/>
      </c>
      <c r="L18" s="385" t="str">
        <f t="shared" si="24"/>
        <v/>
      </c>
      <c r="M18" s="387" t="str">
        <f t="shared" si="25"/>
        <v/>
      </c>
      <c r="N18" s="386"/>
      <c r="O18" s="387">
        <f t="shared" si="26"/>
        <v>0</v>
      </c>
      <c r="P18" s="388"/>
      <c r="Q18" s="389">
        <f t="shared" si="27"/>
        <v>0</v>
      </c>
      <c r="R18" s="118" t="str">
        <f t="shared" si="28"/>
        <v>X</v>
      </c>
      <c r="S18" s="164"/>
      <c r="T18" s="270"/>
      <c r="U18" s="165"/>
      <c r="V18" s="152"/>
      <c r="W18" s="165"/>
      <c r="X18" s="165"/>
      <c r="Y18" s="118" t="str">
        <f t="shared" si="29"/>
        <v/>
      </c>
      <c r="Z18" s="44"/>
      <c r="AA18" s="397" t="str">
        <f t="shared" si="30"/>
        <v/>
      </c>
      <c r="AB18" s="397" t="str">
        <f t="shared" si="31"/>
        <v/>
      </c>
      <c r="AC18" s="397" t="str">
        <f t="shared" si="32"/>
        <v/>
      </c>
      <c r="AD18" s="397" t="str">
        <f t="shared" si="33"/>
        <v/>
      </c>
      <c r="AE18" s="45"/>
      <c r="AF18" s="397" t="str">
        <f t="shared" si="34"/>
        <v/>
      </c>
      <c r="AG18" s="397" t="str">
        <f t="shared" si="35"/>
        <v/>
      </c>
      <c r="AH18" s="397" t="str">
        <f t="shared" si="36"/>
        <v/>
      </c>
      <c r="AI18" s="397" t="str">
        <f t="shared" si="37"/>
        <v/>
      </c>
      <c r="AJ18" s="72"/>
      <c r="AK18" s="310" t="str">
        <f>IF($AQ18="","", IF(OR($AL18="", $AL18="도비"), "", CONCATENATE($AQ18,"-",COUNTIF($AQ$8:$AQ18,$AQ18))))</f>
        <v/>
      </c>
      <c r="AL18" s="310" t="str">
        <f t="shared" si="38"/>
        <v/>
      </c>
      <c r="AM18" s="72"/>
      <c r="AN18" s="311" t="str">
        <f>IF($AQ18="","", IF(OR($AO18="", $AO18="국비", $AO18="자체"), "", CONCATENATE($AQ18,"-", $AO18,"-",COUNTIF($AQ$8:$AQ18, $AQ18))))</f>
        <v/>
      </c>
      <c r="AO18" s="311" t="str">
        <f t="shared" si="39"/>
        <v/>
      </c>
      <c r="AP18" s="72"/>
      <c r="AQ18" s="310" t="str">
        <f t="array" ref="AQ18">IF(OR($D18="", $C18="직접입력", $B18="직접입력"),"",INDEX(구분표!$I$2:$I$337, MATCH(1,(구분표!$G$2:$G$337='3. 일입'!$B18)*(구분표!$E$2:$E$337='3. 일입'!$C18)*(구분표!$F$2:$F$337='3. 일입'!$D18),0)))</f>
        <v/>
      </c>
      <c r="AR18" s="72"/>
      <c r="AS18" s="398" t="str">
        <f>IF($AK18="","", SUMIFS('3. 일출(의존)'!$AB$7:$AB$1829,'3. 일출(의존)'!$AN$7:$AN$1829,$AK18))</f>
        <v/>
      </c>
      <c r="AT18" s="313" t="str">
        <f>IF($AK18="","", COUNTIF('3. 일출(의존)'!$AN$7:$AN$1829,$AK18))</f>
        <v/>
      </c>
      <c r="AU18" s="310" t="str">
        <f t="shared" si="40"/>
        <v/>
      </c>
      <c r="AV18" s="398" t="str">
        <f>IF($AN18="","",IF($AO18="지역개발기금",SUMIFS('3. 일출(의존)'!$AE$7:$AE$1840,'3. 일출(의존)'!$AS$7:$AS$1840,$AN18)+SUMIFS('3. 일출(자체)'!$AE$7:$AE$1837,'3. 일출(자체)'!$AM$7:$AM$1837,$AN18),IF($AO18="지방채",SUMIFS('3. 일출(의존)'!$AD$7:$AD$1840,'3. 일출(의존)'!$AS$7:$AS$1840,$AN18)+SUMIFS('3. 일출(자체)'!$AD$7:$AD$1837,'3. 일출(자체)'!$AM$7:$AM$1837,$AN18),0)))</f>
        <v/>
      </c>
      <c r="AW18" s="313" t="str">
        <f>IF($AN18="","", COUNTIF('3. 일출(의존)'!$AS$7:$AS$1840,$AN18)+COUNTIF('3. 일출(자체)'!$AM$7:$AM$1837,$AN18))</f>
        <v/>
      </c>
      <c r="AX18" s="310" t="str">
        <f t="shared" si="41"/>
        <v/>
      </c>
      <c r="AY18" s="76"/>
      <c r="AZ18" s="398" t="str">
        <f>IF($AK18="","", SUMIFS('3. 일출(의존)'!$AH$7:$AH$1829,'3. 일출(의존)'!$AN$7:$AN$1829,$AK18))</f>
        <v/>
      </c>
      <c r="BA18" s="313" t="str">
        <f>IF($AK18="","", COUNTIF('3. 일출(의존)'!$AN$7:$AN$1829,$AK18))</f>
        <v/>
      </c>
      <c r="BB18" s="310" t="str">
        <f t="shared" si="42"/>
        <v/>
      </c>
      <c r="BC18" s="398" t="str">
        <f>IF($AN18="","",IF($AO18="지역개발기금",SUMIFS('3. 일출(의존)'!$AK$7:$AK$1840,'3. 일출(의존)'!$AS$7:$AS$1840,$AN18)+SUMIFS('3. 일출(자체)'!$AJ$7:$AJ$1837,'3. 일출(자체)'!$AM$7:$AM$1837,$AN18),IF($AO18="지방채",SUMIFS('3. 일출(의존)'!$AJ$7:$AJ$1840,'3. 일출(의존)'!$AS$7:$AS$1840,$AN18)+SUMIFS('3. 일출(자체)'!$AI$7:$AI$1837,'3. 일출(자체)'!$AM$7:$AM$1837,$AN18),0)))</f>
        <v/>
      </c>
      <c r="BD18" s="313" t="str">
        <f>IF($AN18="","",COUNTIF('3. 일출(의존)'!$AS$7:$AS$1840,$AN18)+COUNTIF('3. 일출(자체)'!$AM$7:$AM$1837,$AN18))</f>
        <v/>
      </c>
      <c r="BE18" s="310" t="str">
        <f t="shared" si="43"/>
        <v/>
      </c>
    </row>
    <row r="19" spans="1:57" s="19" customFormat="1" ht="80.099999999999994" customHeight="1">
      <c r="A19" s="115" t="str">
        <f>IF(D19="","",COUNTA($C$8:C19)-COUNTBLANK($C$8:C19)+11)</f>
        <v/>
      </c>
      <c r="B19" s="116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16" t="str">
        <f>IF(D19="","",IF(OR(D19="교육지원과",D19="총무과",D19="인사과"),"직접입력",VLOOKUP(D19,구분표!$A$3:$C$258,3,)))</f>
        <v/>
      </c>
      <c r="D19" s="167"/>
      <c r="E19" s="161"/>
      <c r="F19" s="323" t="str">
        <f t="shared" si="22"/>
        <v/>
      </c>
      <c r="G19" s="323" t="str">
        <f t="shared" si="22"/>
        <v/>
      </c>
      <c r="H19" s="161"/>
      <c r="I19" s="116" t="str">
        <f>IF(H19="","",VLOOKUP($H19,구분표!$O$3:$P$168,2,FALSE))</f>
        <v/>
      </c>
      <c r="J19" s="163"/>
      <c r="K19" s="385" t="str">
        <f t="shared" si="23"/>
        <v/>
      </c>
      <c r="L19" s="385" t="str">
        <f t="shared" si="24"/>
        <v/>
      </c>
      <c r="M19" s="387" t="str">
        <f t="shared" si="25"/>
        <v/>
      </c>
      <c r="N19" s="386"/>
      <c r="O19" s="387">
        <f t="shared" si="26"/>
        <v>0</v>
      </c>
      <c r="P19" s="388"/>
      <c r="Q19" s="389">
        <f t="shared" si="27"/>
        <v>0</v>
      </c>
      <c r="R19" s="118" t="str">
        <f t="shared" si="28"/>
        <v>X</v>
      </c>
      <c r="S19" s="164"/>
      <c r="T19" s="270"/>
      <c r="U19" s="165"/>
      <c r="V19" s="152"/>
      <c r="W19" s="165"/>
      <c r="X19" s="165"/>
      <c r="Y19" s="118" t="str">
        <f t="shared" si="29"/>
        <v/>
      </c>
      <c r="Z19" s="44"/>
      <c r="AA19" s="397" t="str">
        <f t="shared" si="30"/>
        <v/>
      </c>
      <c r="AB19" s="397" t="str">
        <f t="shared" si="31"/>
        <v/>
      </c>
      <c r="AC19" s="397" t="str">
        <f t="shared" si="32"/>
        <v/>
      </c>
      <c r="AD19" s="397" t="str">
        <f t="shared" si="33"/>
        <v/>
      </c>
      <c r="AE19" s="45"/>
      <c r="AF19" s="397" t="str">
        <f t="shared" si="34"/>
        <v/>
      </c>
      <c r="AG19" s="397" t="str">
        <f t="shared" si="35"/>
        <v/>
      </c>
      <c r="AH19" s="397" t="str">
        <f t="shared" si="36"/>
        <v/>
      </c>
      <c r="AI19" s="397" t="str">
        <f t="shared" si="37"/>
        <v/>
      </c>
      <c r="AJ19" s="72"/>
      <c r="AK19" s="310" t="str">
        <f>IF($AQ19="","", IF(OR($AL19="", $AL19="도비"), "", CONCATENATE($AQ19,"-",COUNTIF($AQ$8:$AQ19,$AQ19))))</f>
        <v/>
      </c>
      <c r="AL19" s="310" t="str">
        <f t="shared" si="38"/>
        <v/>
      </c>
      <c r="AM19" s="72"/>
      <c r="AN19" s="311" t="str">
        <f>IF($AQ19="","", IF(OR($AO19="", $AO19="국비", $AO19="자체"), "", CONCATENATE($AQ19,"-", $AO19,"-",COUNTIF($AQ$8:$AQ19, $AQ19))))</f>
        <v/>
      </c>
      <c r="AO19" s="311" t="str">
        <f t="shared" si="39"/>
        <v/>
      </c>
      <c r="AP19" s="72"/>
      <c r="AQ19" s="310" t="str">
        <f t="array" ref="AQ19">IF(OR($D19="", $C19="직접입력", $B19="직접입력"),"",INDEX(구분표!$I$2:$I$337, MATCH(1,(구분표!$G$2:$G$337='3. 일입'!$B19)*(구분표!$E$2:$E$337='3. 일입'!$C19)*(구분표!$F$2:$F$337='3. 일입'!$D19),0)))</f>
        <v/>
      </c>
      <c r="AR19" s="72"/>
      <c r="AS19" s="398" t="str">
        <f>IF($AK19="","", SUMIFS('3. 일출(의존)'!$AB$7:$AB$1829,'3. 일출(의존)'!$AN$7:$AN$1829,$AK19))</f>
        <v/>
      </c>
      <c r="AT19" s="313" t="str">
        <f>IF($AK19="","", COUNTIF('3. 일출(의존)'!$AN$7:$AN$1829,$AK19))</f>
        <v/>
      </c>
      <c r="AU19" s="310" t="str">
        <f t="shared" si="40"/>
        <v/>
      </c>
      <c r="AV19" s="398" t="str">
        <f>IF($AN19="","",IF($AO19="지역개발기금",SUMIFS('3. 일출(의존)'!$AE$7:$AE$1840,'3. 일출(의존)'!$AS$7:$AS$1840,$AN19)+SUMIFS('3. 일출(자체)'!$AE$7:$AE$1837,'3. 일출(자체)'!$AM$7:$AM$1837,$AN19),IF($AO19="지방채",SUMIFS('3. 일출(의존)'!$AD$7:$AD$1840,'3. 일출(의존)'!$AS$7:$AS$1840,$AN19)+SUMIFS('3. 일출(자체)'!$AD$7:$AD$1837,'3. 일출(자체)'!$AM$7:$AM$1837,$AN19),0)))</f>
        <v/>
      </c>
      <c r="AW19" s="313" t="str">
        <f>IF($AN19="","", COUNTIF('3. 일출(의존)'!$AS$7:$AS$1840,$AN19)+COUNTIF('3. 일출(자체)'!$AM$7:$AM$1837,$AN19))</f>
        <v/>
      </c>
      <c r="AX19" s="310" t="str">
        <f t="shared" si="41"/>
        <v/>
      </c>
      <c r="AY19" s="76"/>
      <c r="AZ19" s="398" t="str">
        <f>IF($AK19="","", SUMIFS('3. 일출(의존)'!$AH$7:$AH$1829,'3. 일출(의존)'!$AN$7:$AN$1829,$AK19))</f>
        <v/>
      </c>
      <c r="BA19" s="313" t="str">
        <f>IF($AK19="","", COUNTIF('3. 일출(의존)'!$AN$7:$AN$1829,$AK19))</f>
        <v/>
      </c>
      <c r="BB19" s="310" t="str">
        <f t="shared" si="42"/>
        <v/>
      </c>
      <c r="BC19" s="398" t="str">
        <f>IF($AN19="","",IF($AO19="지역개발기금",SUMIFS('3. 일출(의존)'!$AK$7:$AK$1840,'3. 일출(의존)'!$AS$7:$AS$1840,$AN19)+SUMIFS('3. 일출(자체)'!$AJ$7:$AJ$1837,'3. 일출(자체)'!$AM$7:$AM$1837,$AN19),IF($AO19="지방채",SUMIFS('3. 일출(의존)'!$AJ$7:$AJ$1840,'3. 일출(의존)'!$AS$7:$AS$1840,$AN19)+SUMIFS('3. 일출(자체)'!$AI$7:$AI$1837,'3. 일출(자체)'!$AM$7:$AM$1837,$AN19),0)))</f>
        <v/>
      </c>
      <c r="BD19" s="313" t="str">
        <f>IF($AN19="","",COUNTIF('3. 일출(의존)'!$AS$7:$AS$1840,$AN19)+COUNTIF('3. 일출(자체)'!$AM$7:$AM$1837,$AN19))</f>
        <v/>
      </c>
      <c r="BE19" s="310" t="str">
        <f t="shared" si="43"/>
        <v/>
      </c>
    </row>
    <row r="20" spans="1:57" s="19" customFormat="1" ht="80.099999999999994" customHeight="1">
      <c r="A20" s="115" t="str">
        <f>IF(D20="","",COUNTA($C$8:C20)-COUNTBLANK($C$8:C20)+11)</f>
        <v/>
      </c>
      <c r="B20" s="116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16" t="str">
        <f>IF(D20="","",IF(OR(D20="교육지원과",D20="총무과",D20="인사과"),"직접입력",VLOOKUP(D20,구분표!$A$3:$C$258,3,)))</f>
        <v/>
      </c>
      <c r="D20" s="167"/>
      <c r="E20" s="161"/>
      <c r="F20" s="323" t="str">
        <f t="shared" si="22"/>
        <v/>
      </c>
      <c r="G20" s="323" t="str">
        <f t="shared" si="22"/>
        <v/>
      </c>
      <c r="H20" s="161"/>
      <c r="I20" s="116" t="str">
        <f>IF(H20="","",VLOOKUP($H20,구분표!$O$3:$P$168,2,FALSE))</f>
        <v/>
      </c>
      <c r="J20" s="163"/>
      <c r="K20" s="385" t="str">
        <f t="shared" si="23"/>
        <v/>
      </c>
      <c r="L20" s="385" t="str">
        <f t="shared" si="24"/>
        <v/>
      </c>
      <c r="M20" s="387" t="str">
        <f t="shared" si="25"/>
        <v/>
      </c>
      <c r="N20" s="386"/>
      <c r="O20" s="387">
        <f t="shared" si="26"/>
        <v>0</v>
      </c>
      <c r="P20" s="388"/>
      <c r="Q20" s="389">
        <f t="shared" si="27"/>
        <v>0</v>
      </c>
      <c r="R20" s="118" t="str">
        <f t="shared" si="28"/>
        <v>X</v>
      </c>
      <c r="S20" s="164"/>
      <c r="T20" s="270"/>
      <c r="U20" s="165"/>
      <c r="V20" s="152"/>
      <c r="W20" s="165"/>
      <c r="X20" s="165"/>
      <c r="Y20" s="118" t="str">
        <f t="shared" si="29"/>
        <v/>
      </c>
      <c r="Z20" s="44"/>
      <c r="AA20" s="397" t="str">
        <f t="shared" si="30"/>
        <v/>
      </c>
      <c r="AB20" s="397" t="str">
        <f t="shared" si="31"/>
        <v/>
      </c>
      <c r="AC20" s="397" t="str">
        <f t="shared" si="32"/>
        <v/>
      </c>
      <c r="AD20" s="397" t="str">
        <f t="shared" si="33"/>
        <v/>
      </c>
      <c r="AE20" s="45"/>
      <c r="AF20" s="397" t="str">
        <f t="shared" si="34"/>
        <v/>
      </c>
      <c r="AG20" s="397" t="str">
        <f t="shared" si="35"/>
        <v/>
      </c>
      <c r="AH20" s="397" t="str">
        <f t="shared" si="36"/>
        <v/>
      </c>
      <c r="AI20" s="397" t="str">
        <f t="shared" si="37"/>
        <v/>
      </c>
      <c r="AJ20" s="72"/>
      <c r="AK20" s="310" t="str">
        <f>IF($AQ20="","", IF(OR($AL20="", $AL20="도비"), "", CONCATENATE($AQ20,"-",COUNTIF($AQ$8:$AQ20,$AQ20))))</f>
        <v/>
      </c>
      <c r="AL20" s="310" t="str">
        <f t="shared" si="38"/>
        <v/>
      </c>
      <c r="AM20" s="72"/>
      <c r="AN20" s="311" t="str">
        <f>IF($AQ20="","", IF(OR($AO20="", $AO20="국비", $AO20="자체"), "", CONCATENATE($AQ20,"-", $AO20,"-",COUNTIF($AQ$8:$AQ20, $AQ20))))</f>
        <v/>
      </c>
      <c r="AO20" s="311" t="str">
        <f t="shared" si="39"/>
        <v/>
      </c>
      <c r="AP20" s="72"/>
      <c r="AQ20" s="310" t="str">
        <f t="array" ref="AQ20">IF(OR($D20="", $C20="직접입력", $B20="직접입력"),"",INDEX(구분표!$I$2:$I$337, MATCH(1,(구분표!$G$2:$G$337='3. 일입'!$B20)*(구분표!$E$2:$E$337='3. 일입'!$C20)*(구분표!$F$2:$F$337='3. 일입'!$D20),0)))</f>
        <v/>
      </c>
      <c r="AR20" s="72"/>
      <c r="AS20" s="398" t="str">
        <f>IF($AK20="","", SUMIFS('3. 일출(의존)'!$AB$7:$AB$1829,'3. 일출(의존)'!$AN$7:$AN$1829,$AK20))</f>
        <v/>
      </c>
      <c r="AT20" s="313" t="str">
        <f>IF($AK20="","", COUNTIF('3. 일출(의존)'!$AN$7:$AN$1829,$AK20))</f>
        <v/>
      </c>
      <c r="AU20" s="310" t="str">
        <f t="shared" si="40"/>
        <v/>
      </c>
      <c r="AV20" s="398" t="str">
        <f>IF($AN20="","",IF($AO20="지역개발기금",SUMIFS('3. 일출(의존)'!$AE$7:$AE$1840,'3. 일출(의존)'!$AS$7:$AS$1840,$AN20)+SUMIFS('3. 일출(자체)'!$AE$7:$AE$1837,'3. 일출(자체)'!$AM$7:$AM$1837,$AN20),IF($AO20="지방채",SUMIFS('3. 일출(의존)'!$AD$7:$AD$1840,'3. 일출(의존)'!$AS$7:$AS$1840,$AN20)+SUMIFS('3. 일출(자체)'!$AD$7:$AD$1837,'3. 일출(자체)'!$AM$7:$AM$1837,$AN20),0)))</f>
        <v/>
      </c>
      <c r="AW20" s="313" t="str">
        <f>IF($AN20="","", COUNTIF('3. 일출(의존)'!$AS$7:$AS$1840,$AN20)+COUNTIF('3. 일출(자체)'!$AM$7:$AM$1837,$AN20))</f>
        <v/>
      </c>
      <c r="AX20" s="310" t="str">
        <f t="shared" si="41"/>
        <v/>
      </c>
      <c r="AY20" s="76"/>
      <c r="AZ20" s="398" t="str">
        <f>IF($AK20="","", SUMIFS('3. 일출(의존)'!$AH$7:$AH$1829,'3. 일출(의존)'!$AN$7:$AN$1829,$AK20))</f>
        <v/>
      </c>
      <c r="BA20" s="313" t="str">
        <f>IF($AK20="","", COUNTIF('3. 일출(의존)'!$AN$7:$AN$1829,$AK20))</f>
        <v/>
      </c>
      <c r="BB20" s="310" t="str">
        <f t="shared" si="42"/>
        <v/>
      </c>
      <c r="BC20" s="398" t="str">
        <f>IF($AN20="","",IF($AO20="지역개발기금",SUMIFS('3. 일출(의존)'!$AK$7:$AK$1840,'3. 일출(의존)'!$AS$7:$AS$1840,$AN20)+SUMIFS('3. 일출(자체)'!$AJ$7:$AJ$1837,'3. 일출(자체)'!$AM$7:$AM$1837,$AN20),IF($AO20="지방채",SUMIFS('3. 일출(의존)'!$AJ$7:$AJ$1840,'3. 일출(의존)'!$AS$7:$AS$1840,$AN20)+SUMIFS('3. 일출(자체)'!$AI$7:$AI$1837,'3. 일출(자체)'!$AM$7:$AM$1837,$AN20),0)))</f>
        <v/>
      </c>
      <c r="BD20" s="313" t="str">
        <f>IF($AN20="","",COUNTIF('3. 일출(의존)'!$AS$7:$AS$1840,$AN20)+COUNTIF('3. 일출(자체)'!$AM$7:$AM$1837,$AN20))</f>
        <v/>
      </c>
      <c r="BE20" s="310" t="str">
        <f t="shared" si="43"/>
        <v/>
      </c>
    </row>
    <row r="21" spans="1:57" s="19" customFormat="1" ht="80.099999999999994" customHeight="1">
      <c r="A21" s="115" t="str">
        <f>IF(D21="","",COUNTA($C$8:C21)-COUNTBLANK($C$8:C21)+11)</f>
        <v/>
      </c>
      <c r="B21" s="116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16" t="str">
        <f>IF(D21="","",IF(OR(D21="교육지원과",D21="총무과",D21="인사과"),"직접입력",VLOOKUP(D21,구분표!$A$3:$C$258,3,)))</f>
        <v/>
      </c>
      <c r="D21" s="167"/>
      <c r="E21" s="161"/>
      <c r="F21" s="323" t="str">
        <f t="shared" si="22"/>
        <v/>
      </c>
      <c r="G21" s="323" t="str">
        <f t="shared" si="22"/>
        <v/>
      </c>
      <c r="H21" s="161"/>
      <c r="I21" s="116" t="str">
        <f>IF(H21="","",VLOOKUP($H21,구분표!$O$3:$P$168,2,FALSE))</f>
        <v/>
      </c>
      <c r="J21" s="163"/>
      <c r="K21" s="385" t="str">
        <f t="shared" si="23"/>
        <v/>
      </c>
      <c r="L21" s="385" t="str">
        <f t="shared" si="24"/>
        <v/>
      </c>
      <c r="M21" s="387" t="str">
        <f t="shared" si="25"/>
        <v/>
      </c>
      <c r="N21" s="386"/>
      <c r="O21" s="387">
        <f t="shared" si="26"/>
        <v>0</v>
      </c>
      <c r="P21" s="388"/>
      <c r="Q21" s="389">
        <f t="shared" si="27"/>
        <v>0</v>
      </c>
      <c r="R21" s="118" t="str">
        <f t="shared" si="28"/>
        <v>X</v>
      </c>
      <c r="S21" s="164"/>
      <c r="T21" s="270"/>
      <c r="U21" s="165"/>
      <c r="V21" s="152"/>
      <c r="W21" s="165"/>
      <c r="X21" s="165"/>
      <c r="Y21" s="118" t="str">
        <f t="shared" si="29"/>
        <v/>
      </c>
      <c r="Z21" s="44"/>
      <c r="AA21" s="397" t="str">
        <f t="shared" si="30"/>
        <v/>
      </c>
      <c r="AB21" s="397" t="str">
        <f t="shared" si="31"/>
        <v/>
      </c>
      <c r="AC21" s="397" t="str">
        <f t="shared" si="32"/>
        <v/>
      </c>
      <c r="AD21" s="397" t="str">
        <f t="shared" si="33"/>
        <v/>
      </c>
      <c r="AE21" s="45"/>
      <c r="AF21" s="397" t="str">
        <f t="shared" si="34"/>
        <v/>
      </c>
      <c r="AG21" s="397" t="str">
        <f t="shared" si="35"/>
        <v/>
      </c>
      <c r="AH21" s="397" t="str">
        <f t="shared" si="36"/>
        <v/>
      </c>
      <c r="AI21" s="397" t="str">
        <f t="shared" si="37"/>
        <v/>
      </c>
      <c r="AJ21" s="72"/>
      <c r="AK21" s="310" t="str">
        <f>IF($AQ21="","", IF(OR($AL21="", $AL21="도비"), "", CONCATENATE($AQ21,"-",COUNTIF($AQ$8:$AQ21,$AQ21))))</f>
        <v/>
      </c>
      <c r="AL21" s="310" t="str">
        <f t="shared" si="38"/>
        <v/>
      </c>
      <c r="AM21" s="72"/>
      <c r="AN21" s="311" t="str">
        <f>IF($AQ21="","", IF(OR($AO21="", $AO21="국비", $AO21="자체"), "", CONCATENATE($AQ21,"-", $AO21,"-",COUNTIF($AQ$8:$AQ21, $AQ21))))</f>
        <v/>
      </c>
      <c r="AO21" s="311" t="str">
        <f t="shared" si="39"/>
        <v/>
      </c>
      <c r="AP21" s="72"/>
      <c r="AQ21" s="310" t="str">
        <f t="array" ref="AQ21">IF(OR($D21="", $C21="직접입력", $B21="직접입력"),"",INDEX(구분표!$I$2:$I$337, MATCH(1,(구분표!$G$2:$G$337='3. 일입'!$B21)*(구분표!$E$2:$E$337='3. 일입'!$C21)*(구분표!$F$2:$F$337='3. 일입'!$D21),0)))</f>
        <v/>
      </c>
      <c r="AR21" s="72"/>
      <c r="AS21" s="398" t="str">
        <f>IF($AK21="","", SUMIFS('3. 일출(의존)'!$AB$7:$AB$1829,'3. 일출(의존)'!$AN$7:$AN$1829,$AK21))</f>
        <v/>
      </c>
      <c r="AT21" s="313" t="str">
        <f>IF($AK21="","", COUNTIF('3. 일출(의존)'!$AN$7:$AN$1829,$AK21))</f>
        <v/>
      </c>
      <c r="AU21" s="310" t="str">
        <f t="shared" si="40"/>
        <v/>
      </c>
      <c r="AV21" s="398" t="str">
        <f>IF($AN21="","",IF($AO21="지역개발기금",SUMIFS('3. 일출(의존)'!$AE$7:$AE$1840,'3. 일출(의존)'!$AS$7:$AS$1840,$AN21)+SUMIFS('3. 일출(자체)'!$AE$7:$AE$1837,'3. 일출(자체)'!$AM$7:$AM$1837,$AN21),IF($AO21="지방채",SUMIFS('3. 일출(의존)'!$AD$7:$AD$1840,'3. 일출(의존)'!$AS$7:$AS$1840,$AN21)+SUMIFS('3. 일출(자체)'!$AD$7:$AD$1837,'3. 일출(자체)'!$AM$7:$AM$1837,$AN21),0)))</f>
        <v/>
      </c>
      <c r="AW21" s="313" t="str">
        <f>IF($AN21="","", COUNTIF('3. 일출(의존)'!$AS$7:$AS$1840,$AN21)+COUNTIF('3. 일출(자체)'!$AM$7:$AM$1837,$AN21))</f>
        <v/>
      </c>
      <c r="AX21" s="310" t="str">
        <f t="shared" si="41"/>
        <v/>
      </c>
      <c r="AY21" s="76"/>
      <c r="AZ21" s="398" t="str">
        <f>IF($AK21="","", SUMIFS('3. 일출(의존)'!$AH$7:$AH$1829,'3. 일출(의존)'!$AN$7:$AN$1829,$AK21))</f>
        <v/>
      </c>
      <c r="BA21" s="313" t="str">
        <f>IF($AK21="","", COUNTIF('3. 일출(의존)'!$AN$7:$AN$1829,$AK21))</f>
        <v/>
      </c>
      <c r="BB21" s="310" t="str">
        <f t="shared" si="42"/>
        <v/>
      </c>
      <c r="BC21" s="398" t="str">
        <f>IF($AN21="","",IF($AO21="지역개발기금",SUMIFS('3. 일출(의존)'!$AK$7:$AK$1840,'3. 일출(의존)'!$AS$7:$AS$1840,$AN21)+SUMIFS('3. 일출(자체)'!$AJ$7:$AJ$1837,'3. 일출(자체)'!$AM$7:$AM$1837,$AN21),IF($AO21="지방채",SUMIFS('3. 일출(의존)'!$AJ$7:$AJ$1840,'3. 일출(의존)'!$AS$7:$AS$1840,$AN21)+SUMIFS('3. 일출(자체)'!$AI$7:$AI$1837,'3. 일출(자체)'!$AM$7:$AM$1837,$AN21),0)))</f>
        <v/>
      </c>
      <c r="BD21" s="313" t="str">
        <f>IF($AN21="","",COUNTIF('3. 일출(의존)'!$AS$7:$AS$1840,$AN21)+COUNTIF('3. 일출(자체)'!$AM$7:$AM$1837,$AN21))</f>
        <v/>
      </c>
      <c r="BE21" s="310" t="str">
        <f t="shared" si="43"/>
        <v/>
      </c>
    </row>
    <row r="22" spans="1:57" s="19" customFormat="1" ht="80.099999999999994" customHeight="1">
      <c r="A22" s="115" t="str">
        <f>IF(D22="","",COUNTA($C$8:C22)-COUNTBLANK($C$8:C22)+11)</f>
        <v/>
      </c>
      <c r="B22" s="116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16" t="str">
        <f>IF(D22="","",IF(OR(D22="교육지원과",D22="총무과",D22="인사과"),"직접입력",VLOOKUP(D22,구분표!$A$3:$C$258,3,)))</f>
        <v/>
      </c>
      <c r="D22" s="167"/>
      <c r="E22" s="161"/>
      <c r="F22" s="323" t="str">
        <f t="shared" si="22"/>
        <v/>
      </c>
      <c r="G22" s="323" t="str">
        <f t="shared" si="22"/>
        <v/>
      </c>
      <c r="H22" s="161"/>
      <c r="I22" s="116" t="str">
        <f>IF(H22="","",VLOOKUP($H22,구분표!$O$3:$P$168,2,FALSE))</f>
        <v/>
      </c>
      <c r="J22" s="163"/>
      <c r="K22" s="385" t="str">
        <f t="shared" si="23"/>
        <v/>
      </c>
      <c r="L22" s="385" t="str">
        <f t="shared" si="24"/>
        <v/>
      </c>
      <c r="M22" s="387" t="str">
        <f t="shared" si="25"/>
        <v/>
      </c>
      <c r="N22" s="386"/>
      <c r="O22" s="387">
        <f t="shared" si="26"/>
        <v>0</v>
      </c>
      <c r="P22" s="388"/>
      <c r="Q22" s="389">
        <f t="shared" si="27"/>
        <v>0</v>
      </c>
      <c r="R22" s="118" t="str">
        <f t="shared" si="28"/>
        <v>X</v>
      </c>
      <c r="S22" s="164"/>
      <c r="T22" s="270"/>
      <c r="U22" s="165"/>
      <c r="V22" s="152"/>
      <c r="W22" s="165"/>
      <c r="X22" s="165"/>
      <c r="Y22" s="118" t="str">
        <f t="shared" si="29"/>
        <v/>
      </c>
      <c r="Z22" s="44"/>
      <c r="AA22" s="397" t="str">
        <f t="shared" si="30"/>
        <v/>
      </c>
      <c r="AB22" s="397" t="str">
        <f t="shared" si="31"/>
        <v/>
      </c>
      <c r="AC22" s="397" t="str">
        <f t="shared" si="32"/>
        <v/>
      </c>
      <c r="AD22" s="397" t="str">
        <f t="shared" si="33"/>
        <v/>
      </c>
      <c r="AE22" s="45"/>
      <c r="AF22" s="397" t="str">
        <f t="shared" si="34"/>
        <v/>
      </c>
      <c r="AG22" s="397" t="str">
        <f t="shared" si="35"/>
        <v/>
      </c>
      <c r="AH22" s="397" t="str">
        <f t="shared" si="36"/>
        <v/>
      </c>
      <c r="AI22" s="397" t="str">
        <f t="shared" si="37"/>
        <v/>
      </c>
      <c r="AJ22" s="72"/>
      <c r="AK22" s="310" t="str">
        <f>IF($AQ22="","", IF(OR($AL22="", $AL22="도비"), "", CONCATENATE($AQ22,"-",COUNTIF($AQ$8:$AQ22,$AQ22))))</f>
        <v/>
      </c>
      <c r="AL22" s="310" t="str">
        <f t="shared" si="38"/>
        <v/>
      </c>
      <c r="AM22" s="72"/>
      <c r="AN22" s="311" t="str">
        <f>IF($AQ22="","", IF(OR($AO22="", $AO22="국비", $AO22="자체"), "", CONCATENATE($AQ22,"-", $AO22,"-",COUNTIF($AQ$8:$AQ22, $AQ22))))</f>
        <v/>
      </c>
      <c r="AO22" s="311" t="str">
        <f t="shared" si="39"/>
        <v/>
      </c>
      <c r="AP22" s="72"/>
      <c r="AQ22" s="310" t="str">
        <f t="array" ref="AQ22">IF(OR($D22="", $C22="직접입력", $B22="직접입력"),"",INDEX(구분표!$I$2:$I$337, MATCH(1,(구분표!$G$2:$G$337='3. 일입'!$B22)*(구분표!$E$2:$E$337='3. 일입'!$C22)*(구분표!$F$2:$F$337='3. 일입'!$D22),0)))</f>
        <v/>
      </c>
      <c r="AR22" s="72"/>
      <c r="AS22" s="398" t="str">
        <f>IF($AK22="","", SUMIFS('3. 일출(의존)'!$AB$7:$AB$1829,'3. 일출(의존)'!$AN$7:$AN$1829,$AK22))</f>
        <v/>
      </c>
      <c r="AT22" s="313" t="str">
        <f>IF($AK22="","", COUNTIF('3. 일출(의존)'!$AN$7:$AN$1829,$AK22))</f>
        <v/>
      </c>
      <c r="AU22" s="310" t="str">
        <f t="shared" si="40"/>
        <v/>
      </c>
      <c r="AV22" s="398" t="str">
        <f>IF($AN22="","",IF($AO22="지역개발기금",SUMIFS('3. 일출(의존)'!$AE$7:$AE$1840,'3. 일출(의존)'!$AS$7:$AS$1840,$AN22)+SUMIFS('3. 일출(자체)'!$AE$7:$AE$1837,'3. 일출(자체)'!$AM$7:$AM$1837,$AN22),IF($AO22="지방채",SUMIFS('3. 일출(의존)'!$AD$7:$AD$1840,'3. 일출(의존)'!$AS$7:$AS$1840,$AN22)+SUMIFS('3. 일출(자체)'!$AD$7:$AD$1837,'3. 일출(자체)'!$AM$7:$AM$1837,$AN22),0)))</f>
        <v/>
      </c>
      <c r="AW22" s="313" t="str">
        <f>IF($AN22="","", COUNTIF('3. 일출(의존)'!$AS$7:$AS$1840,$AN22)+COUNTIF('3. 일출(자체)'!$AM$7:$AM$1837,$AN22))</f>
        <v/>
      </c>
      <c r="AX22" s="310" t="str">
        <f t="shared" si="41"/>
        <v/>
      </c>
      <c r="AY22" s="76"/>
      <c r="AZ22" s="398" t="str">
        <f>IF($AK22="","", SUMIFS('3. 일출(의존)'!$AH$7:$AH$1829,'3. 일출(의존)'!$AN$7:$AN$1829,$AK22))</f>
        <v/>
      </c>
      <c r="BA22" s="313" t="str">
        <f>IF($AK22="","", COUNTIF('3. 일출(의존)'!$AN$7:$AN$1829,$AK22))</f>
        <v/>
      </c>
      <c r="BB22" s="310" t="str">
        <f t="shared" si="42"/>
        <v/>
      </c>
      <c r="BC22" s="398" t="str">
        <f>IF($AN22="","",IF($AO22="지역개발기금",SUMIFS('3. 일출(의존)'!$AK$7:$AK$1840,'3. 일출(의존)'!$AS$7:$AS$1840,$AN22)+SUMIFS('3. 일출(자체)'!$AJ$7:$AJ$1837,'3. 일출(자체)'!$AM$7:$AM$1837,$AN22),IF($AO22="지방채",SUMIFS('3. 일출(의존)'!$AJ$7:$AJ$1840,'3. 일출(의존)'!$AS$7:$AS$1840,$AN22)+SUMIFS('3. 일출(자체)'!$AI$7:$AI$1837,'3. 일출(자체)'!$AM$7:$AM$1837,$AN22),0)))</f>
        <v/>
      </c>
      <c r="BD22" s="313" t="str">
        <f>IF($AN22="","",COUNTIF('3. 일출(의존)'!$AS$7:$AS$1840,$AN22)+COUNTIF('3. 일출(자체)'!$AM$7:$AM$1837,$AN22))</f>
        <v/>
      </c>
      <c r="BE22" s="310" t="str">
        <f t="shared" si="43"/>
        <v/>
      </c>
    </row>
    <row r="23" spans="1:57" s="19" customFormat="1" ht="80.099999999999994" customHeight="1">
      <c r="A23" s="115" t="str">
        <f>IF(D23="","",COUNTA($C$8:C23)-COUNTBLANK($C$8:C23)+11)</f>
        <v/>
      </c>
      <c r="B23" s="116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16" t="str">
        <f>IF(D23="","",IF(OR(D23="교육지원과",D23="총무과",D23="인사과"),"직접입력",VLOOKUP(D23,구분표!$A$3:$C$258,3,)))</f>
        <v/>
      </c>
      <c r="D23" s="167"/>
      <c r="E23" s="161"/>
      <c r="F23" s="323" t="str">
        <f t="shared" si="22"/>
        <v/>
      </c>
      <c r="G23" s="323" t="str">
        <f t="shared" si="22"/>
        <v/>
      </c>
      <c r="H23" s="161"/>
      <c r="I23" s="116" t="str">
        <f>IF(H23="","",VLOOKUP($H23,구분표!$O$3:$P$168,2,FALSE))</f>
        <v/>
      </c>
      <c r="J23" s="163"/>
      <c r="K23" s="385" t="str">
        <f t="shared" si="23"/>
        <v/>
      </c>
      <c r="L23" s="385" t="str">
        <f t="shared" si="24"/>
        <v/>
      </c>
      <c r="M23" s="387" t="str">
        <f t="shared" si="25"/>
        <v/>
      </c>
      <c r="N23" s="386"/>
      <c r="O23" s="387">
        <f t="shared" si="26"/>
        <v>0</v>
      </c>
      <c r="P23" s="388"/>
      <c r="Q23" s="389">
        <f t="shared" si="27"/>
        <v>0</v>
      </c>
      <c r="R23" s="118" t="str">
        <f t="shared" si="28"/>
        <v>X</v>
      </c>
      <c r="S23" s="164"/>
      <c r="T23" s="270"/>
      <c r="U23" s="165"/>
      <c r="V23" s="152"/>
      <c r="W23" s="165"/>
      <c r="X23" s="165"/>
      <c r="Y23" s="118" t="str">
        <f t="shared" si="29"/>
        <v/>
      </c>
      <c r="Z23" s="44"/>
      <c r="AA23" s="397" t="str">
        <f t="shared" si="30"/>
        <v/>
      </c>
      <c r="AB23" s="397" t="str">
        <f t="shared" si="31"/>
        <v/>
      </c>
      <c r="AC23" s="397" t="str">
        <f t="shared" si="32"/>
        <v/>
      </c>
      <c r="AD23" s="397" t="str">
        <f t="shared" si="33"/>
        <v/>
      </c>
      <c r="AE23" s="45"/>
      <c r="AF23" s="397" t="str">
        <f t="shared" si="34"/>
        <v/>
      </c>
      <c r="AG23" s="397" t="str">
        <f t="shared" si="35"/>
        <v/>
      </c>
      <c r="AH23" s="397" t="str">
        <f t="shared" si="36"/>
        <v/>
      </c>
      <c r="AI23" s="397" t="str">
        <f t="shared" si="37"/>
        <v/>
      </c>
      <c r="AJ23" s="72"/>
      <c r="AK23" s="310" t="str">
        <f>IF($AQ23="","", IF(OR($AL23="", $AL23="도비"), "", CONCATENATE($AQ23,"-",COUNTIF($AQ$8:$AQ23,$AQ23))))</f>
        <v/>
      </c>
      <c r="AL23" s="310" t="str">
        <f t="shared" si="38"/>
        <v/>
      </c>
      <c r="AM23" s="72"/>
      <c r="AN23" s="311" t="str">
        <f>IF($AQ23="","", IF(OR($AO23="", $AO23="국비", $AO23="자체"), "", CONCATENATE($AQ23,"-", $AO23,"-",COUNTIF($AQ$8:$AQ23, $AQ23))))</f>
        <v/>
      </c>
      <c r="AO23" s="311" t="str">
        <f t="shared" si="39"/>
        <v/>
      </c>
      <c r="AP23" s="72"/>
      <c r="AQ23" s="310" t="str">
        <f t="array" ref="AQ23">IF(OR($D23="", $C23="직접입력", $B23="직접입력"),"",INDEX(구분표!$I$2:$I$337, MATCH(1,(구분표!$G$2:$G$337='3. 일입'!$B23)*(구분표!$E$2:$E$337='3. 일입'!$C23)*(구분표!$F$2:$F$337='3. 일입'!$D23),0)))</f>
        <v/>
      </c>
      <c r="AR23" s="72"/>
      <c r="AS23" s="398" t="str">
        <f>IF($AK23="","", SUMIFS('3. 일출(의존)'!$AB$7:$AB$1829,'3. 일출(의존)'!$AN$7:$AN$1829,$AK23))</f>
        <v/>
      </c>
      <c r="AT23" s="313" t="str">
        <f>IF($AK23="","", COUNTIF('3. 일출(의존)'!$AN$7:$AN$1829,$AK23))</f>
        <v/>
      </c>
      <c r="AU23" s="310" t="str">
        <f t="shared" si="40"/>
        <v/>
      </c>
      <c r="AV23" s="398" t="str">
        <f>IF($AN23="","",IF($AO23="지역개발기금",SUMIFS('3. 일출(의존)'!$AE$7:$AE$1840,'3. 일출(의존)'!$AS$7:$AS$1840,$AN23)+SUMIFS('3. 일출(자체)'!$AE$7:$AE$1837,'3. 일출(자체)'!$AM$7:$AM$1837,$AN23),IF($AO23="지방채",SUMIFS('3. 일출(의존)'!$AD$7:$AD$1840,'3. 일출(의존)'!$AS$7:$AS$1840,$AN23)+SUMIFS('3. 일출(자체)'!$AD$7:$AD$1837,'3. 일출(자체)'!$AM$7:$AM$1837,$AN23),0)))</f>
        <v/>
      </c>
      <c r="AW23" s="313" t="str">
        <f>IF($AN23="","", COUNTIF('3. 일출(의존)'!$AS$7:$AS$1840,$AN23)+COUNTIF('3. 일출(자체)'!$AM$7:$AM$1837,$AN23))</f>
        <v/>
      </c>
      <c r="AX23" s="310" t="str">
        <f t="shared" si="41"/>
        <v/>
      </c>
      <c r="AY23" s="76"/>
      <c r="AZ23" s="398" t="str">
        <f>IF($AK23="","", SUMIFS('3. 일출(의존)'!$AH$7:$AH$1829,'3. 일출(의존)'!$AN$7:$AN$1829,$AK23))</f>
        <v/>
      </c>
      <c r="BA23" s="313" t="str">
        <f>IF($AK23="","", COUNTIF('3. 일출(의존)'!$AN$7:$AN$1829,$AK23))</f>
        <v/>
      </c>
      <c r="BB23" s="310" t="str">
        <f t="shared" si="42"/>
        <v/>
      </c>
      <c r="BC23" s="398" t="str">
        <f>IF($AN23="","",IF($AO23="지역개발기금",SUMIFS('3. 일출(의존)'!$AK$7:$AK$1840,'3. 일출(의존)'!$AS$7:$AS$1840,$AN23)+SUMIFS('3. 일출(자체)'!$AJ$7:$AJ$1837,'3. 일출(자체)'!$AM$7:$AM$1837,$AN23),IF($AO23="지방채",SUMIFS('3. 일출(의존)'!$AJ$7:$AJ$1840,'3. 일출(의존)'!$AS$7:$AS$1840,$AN23)+SUMIFS('3. 일출(자체)'!$AI$7:$AI$1837,'3. 일출(자체)'!$AM$7:$AM$1837,$AN23),0)))</f>
        <v/>
      </c>
      <c r="BD23" s="313" t="str">
        <f>IF($AN23="","",COUNTIF('3. 일출(의존)'!$AS$7:$AS$1840,$AN23)+COUNTIF('3. 일출(자체)'!$AM$7:$AM$1837,$AN23))</f>
        <v/>
      </c>
      <c r="BE23" s="310" t="str">
        <f t="shared" si="43"/>
        <v/>
      </c>
    </row>
    <row r="24" spans="1:57" s="19" customFormat="1" ht="80.099999999999994" customHeight="1">
      <c r="A24" s="115" t="str">
        <f>IF(D24="","",COUNTA($C$8:C24)-COUNTBLANK($C$8:C24)+11)</f>
        <v/>
      </c>
      <c r="B24" s="116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16" t="str">
        <f>IF(D24="","",IF(OR(D24="교육지원과",D24="총무과",D24="인사과"),"직접입력",VLOOKUP(D24,구분표!$A$3:$C$258,3,)))</f>
        <v/>
      </c>
      <c r="D24" s="167"/>
      <c r="E24" s="161"/>
      <c r="F24" s="323" t="str">
        <f t="shared" si="22"/>
        <v/>
      </c>
      <c r="G24" s="323" t="str">
        <f t="shared" si="22"/>
        <v/>
      </c>
      <c r="H24" s="161"/>
      <c r="I24" s="116" t="str">
        <f>IF(H24="","",VLOOKUP($H24,구분표!$O$3:$P$168,2,FALSE))</f>
        <v/>
      </c>
      <c r="J24" s="163"/>
      <c r="K24" s="385" t="str">
        <f t="shared" si="23"/>
        <v/>
      </c>
      <c r="L24" s="385" t="str">
        <f t="shared" si="24"/>
        <v/>
      </c>
      <c r="M24" s="387" t="str">
        <f t="shared" si="25"/>
        <v/>
      </c>
      <c r="N24" s="386"/>
      <c r="O24" s="387">
        <f t="shared" si="26"/>
        <v>0</v>
      </c>
      <c r="P24" s="388"/>
      <c r="Q24" s="389">
        <f t="shared" si="27"/>
        <v>0</v>
      </c>
      <c r="R24" s="118" t="str">
        <f t="shared" si="28"/>
        <v>X</v>
      </c>
      <c r="S24" s="164"/>
      <c r="T24" s="270"/>
      <c r="U24" s="165"/>
      <c r="V24" s="152"/>
      <c r="W24" s="165"/>
      <c r="X24" s="165"/>
      <c r="Y24" s="118" t="str">
        <f t="shared" si="29"/>
        <v/>
      </c>
      <c r="Z24" s="44"/>
      <c r="AA24" s="397" t="str">
        <f t="shared" si="30"/>
        <v/>
      </c>
      <c r="AB24" s="397" t="str">
        <f t="shared" si="31"/>
        <v/>
      </c>
      <c r="AC24" s="397" t="str">
        <f t="shared" si="32"/>
        <v/>
      </c>
      <c r="AD24" s="397" t="str">
        <f t="shared" si="33"/>
        <v/>
      </c>
      <c r="AE24" s="45"/>
      <c r="AF24" s="397" t="str">
        <f t="shared" si="34"/>
        <v/>
      </c>
      <c r="AG24" s="397" t="str">
        <f t="shared" si="35"/>
        <v/>
      </c>
      <c r="AH24" s="397" t="str">
        <f t="shared" si="36"/>
        <v/>
      </c>
      <c r="AI24" s="397" t="str">
        <f t="shared" si="37"/>
        <v/>
      </c>
      <c r="AJ24" s="72"/>
      <c r="AK24" s="310" t="str">
        <f>IF($AQ24="","", IF(OR($AL24="", $AL24="도비"), "", CONCATENATE($AQ24,"-",COUNTIF($AQ$8:$AQ24,$AQ24))))</f>
        <v/>
      </c>
      <c r="AL24" s="310" t="str">
        <f t="shared" si="38"/>
        <v/>
      </c>
      <c r="AM24" s="72"/>
      <c r="AN24" s="311" t="str">
        <f>IF($AQ24="","", IF(OR($AO24="", $AO24="국비", $AO24="자체"), "", CONCATENATE($AQ24,"-", $AO24,"-",COUNTIF($AQ$8:$AQ24, $AQ24))))</f>
        <v/>
      </c>
      <c r="AO24" s="311" t="str">
        <f t="shared" si="39"/>
        <v/>
      </c>
      <c r="AP24" s="72"/>
      <c r="AQ24" s="310" t="str">
        <f t="array" ref="AQ24">IF(OR($D24="", $C24="직접입력", $B24="직접입력"),"",INDEX(구분표!$I$2:$I$337, MATCH(1,(구분표!$G$2:$G$337='3. 일입'!$B24)*(구분표!$E$2:$E$337='3. 일입'!$C24)*(구분표!$F$2:$F$337='3. 일입'!$D24),0)))</f>
        <v/>
      </c>
      <c r="AR24" s="72"/>
      <c r="AS24" s="398" t="str">
        <f>IF($AK24="","", SUMIFS('3. 일출(의존)'!$AB$7:$AB$1829,'3. 일출(의존)'!$AN$7:$AN$1829,$AK24))</f>
        <v/>
      </c>
      <c r="AT24" s="313" t="str">
        <f>IF($AK24="","", COUNTIF('3. 일출(의존)'!$AN$7:$AN$1829,$AK24))</f>
        <v/>
      </c>
      <c r="AU24" s="310" t="str">
        <f t="shared" si="40"/>
        <v/>
      </c>
      <c r="AV24" s="398" t="str">
        <f>IF($AN24="","",IF($AO24="지역개발기금",SUMIFS('3. 일출(의존)'!$AE$7:$AE$1840,'3. 일출(의존)'!$AS$7:$AS$1840,$AN24)+SUMIFS('3. 일출(자체)'!$AE$7:$AE$1837,'3. 일출(자체)'!$AM$7:$AM$1837,$AN24),IF($AO24="지방채",SUMIFS('3. 일출(의존)'!$AD$7:$AD$1840,'3. 일출(의존)'!$AS$7:$AS$1840,$AN24)+SUMIFS('3. 일출(자체)'!$AD$7:$AD$1837,'3. 일출(자체)'!$AM$7:$AM$1837,$AN24),0)))</f>
        <v/>
      </c>
      <c r="AW24" s="313" t="str">
        <f>IF($AN24="","", COUNTIF('3. 일출(의존)'!$AS$7:$AS$1840,$AN24)+COUNTIF('3. 일출(자체)'!$AM$7:$AM$1837,$AN24))</f>
        <v/>
      </c>
      <c r="AX24" s="310" t="str">
        <f t="shared" si="41"/>
        <v/>
      </c>
      <c r="AY24" s="76"/>
      <c r="AZ24" s="398" t="str">
        <f>IF($AK24="","", SUMIFS('3. 일출(의존)'!$AH$7:$AH$1829,'3. 일출(의존)'!$AN$7:$AN$1829,$AK24))</f>
        <v/>
      </c>
      <c r="BA24" s="313" t="str">
        <f>IF($AK24="","", COUNTIF('3. 일출(의존)'!$AN$7:$AN$1829,$AK24))</f>
        <v/>
      </c>
      <c r="BB24" s="310" t="str">
        <f t="shared" si="42"/>
        <v/>
      </c>
      <c r="BC24" s="398" t="str">
        <f>IF($AN24="","",IF($AO24="지역개발기금",SUMIFS('3. 일출(의존)'!$AK$7:$AK$1840,'3. 일출(의존)'!$AS$7:$AS$1840,$AN24)+SUMIFS('3. 일출(자체)'!$AJ$7:$AJ$1837,'3. 일출(자체)'!$AM$7:$AM$1837,$AN24),IF($AO24="지방채",SUMIFS('3. 일출(의존)'!$AJ$7:$AJ$1840,'3. 일출(의존)'!$AS$7:$AS$1840,$AN24)+SUMIFS('3. 일출(자체)'!$AI$7:$AI$1837,'3. 일출(자체)'!$AM$7:$AM$1837,$AN24),0)))</f>
        <v/>
      </c>
      <c r="BD24" s="313" t="str">
        <f>IF($AN24="","",COUNTIF('3. 일출(의존)'!$AS$7:$AS$1840,$AN24)+COUNTIF('3. 일출(자체)'!$AM$7:$AM$1837,$AN24))</f>
        <v/>
      </c>
      <c r="BE24" s="310" t="str">
        <f t="shared" si="43"/>
        <v/>
      </c>
    </row>
    <row r="25" spans="1:57" s="19" customFormat="1" ht="80.099999999999994" customHeight="1">
      <c r="A25" s="115" t="str">
        <f>IF(D25="","",COUNTA($C$8:C25)-COUNTBLANK($C$8:C25)+11)</f>
        <v/>
      </c>
      <c r="B25" s="116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16" t="str">
        <f>IF(D25="","",IF(OR(D25="교육지원과",D25="총무과",D25="인사과"),"직접입력",VLOOKUP(D25,구분표!$A$3:$C$258,3,)))</f>
        <v/>
      </c>
      <c r="D25" s="167"/>
      <c r="E25" s="161"/>
      <c r="F25" s="323" t="str">
        <f t="shared" si="22"/>
        <v/>
      </c>
      <c r="G25" s="323" t="str">
        <f t="shared" si="22"/>
        <v/>
      </c>
      <c r="H25" s="161"/>
      <c r="I25" s="116" t="str">
        <f>IF(H25="","",VLOOKUP($H25,구분표!$O$3:$P$168,2,FALSE))</f>
        <v/>
      </c>
      <c r="J25" s="163"/>
      <c r="K25" s="385" t="str">
        <f t="shared" si="23"/>
        <v/>
      </c>
      <c r="L25" s="385" t="str">
        <f t="shared" si="24"/>
        <v/>
      </c>
      <c r="M25" s="387" t="str">
        <f t="shared" si="25"/>
        <v/>
      </c>
      <c r="N25" s="386"/>
      <c r="O25" s="387">
        <f t="shared" si="26"/>
        <v>0</v>
      </c>
      <c r="P25" s="388"/>
      <c r="Q25" s="389">
        <f t="shared" si="27"/>
        <v>0</v>
      </c>
      <c r="R25" s="118" t="str">
        <f t="shared" si="28"/>
        <v>X</v>
      </c>
      <c r="S25" s="164"/>
      <c r="T25" s="270"/>
      <c r="U25" s="165"/>
      <c r="V25" s="152"/>
      <c r="W25" s="165"/>
      <c r="X25" s="165"/>
      <c r="Y25" s="118" t="str">
        <f t="shared" si="29"/>
        <v/>
      </c>
      <c r="Z25" s="44"/>
      <c r="AA25" s="397" t="str">
        <f t="shared" si="30"/>
        <v/>
      </c>
      <c r="AB25" s="397" t="str">
        <f t="shared" si="31"/>
        <v/>
      </c>
      <c r="AC25" s="397" t="str">
        <f t="shared" si="32"/>
        <v/>
      </c>
      <c r="AD25" s="397" t="str">
        <f t="shared" si="33"/>
        <v/>
      </c>
      <c r="AE25" s="45"/>
      <c r="AF25" s="397" t="str">
        <f t="shared" si="34"/>
        <v/>
      </c>
      <c r="AG25" s="397" t="str">
        <f t="shared" si="35"/>
        <v/>
      </c>
      <c r="AH25" s="397" t="str">
        <f t="shared" si="36"/>
        <v/>
      </c>
      <c r="AI25" s="397" t="str">
        <f t="shared" si="37"/>
        <v/>
      </c>
      <c r="AJ25" s="72"/>
      <c r="AK25" s="310" t="str">
        <f>IF($AQ25="","", IF(OR($AL25="", $AL25="도비"), "", CONCATENATE($AQ25,"-",COUNTIF($AQ$8:$AQ25,$AQ25))))</f>
        <v/>
      </c>
      <c r="AL25" s="310" t="str">
        <f t="shared" si="38"/>
        <v/>
      </c>
      <c r="AM25" s="72"/>
      <c r="AN25" s="311" t="str">
        <f>IF($AQ25="","", IF(OR($AO25="", $AO25="국비", $AO25="자체"), "", CONCATENATE($AQ25,"-", $AO25,"-",COUNTIF($AQ$8:$AQ25, $AQ25))))</f>
        <v/>
      </c>
      <c r="AO25" s="311" t="str">
        <f t="shared" si="39"/>
        <v/>
      </c>
      <c r="AP25" s="72"/>
      <c r="AQ25" s="310" t="str">
        <f t="array" ref="AQ25">IF(OR($D25="", $C25="직접입력", $B25="직접입력"),"",INDEX(구분표!$I$2:$I$337, MATCH(1,(구분표!$G$2:$G$337='3. 일입'!$B25)*(구분표!$E$2:$E$337='3. 일입'!$C25)*(구분표!$F$2:$F$337='3. 일입'!$D25),0)))</f>
        <v/>
      </c>
      <c r="AR25" s="72"/>
      <c r="AS25" s="398" t="str">
        <f>IF($AK25="","", SUMIFS('3. 일출(의존)'!$AB$7:$AB$1829,'3. 일출(의존)'!$AN$7:$AN$1829,$AK25))</f>
        <v/>
      </c>
      <c r="AT25" s="313" t="str">
        <f>IF($AK25="","", COUNTIF('3. 일출(의존)'!$AN$7:$AN$1829,$AK25))</f>
        <v/>
      </c>
      <c r="AU25" s="310" t="str">
        <f t="shared" si="40"/>
        <v/>
      </c>
      <c r="AV25" s="398" t="str">
        <f>IF($AN25="","",IF($AO25="지역개발기금",SUMIFS('3. 일출(의존)'!$AE$7:$AE$1840,'3. 일출(의존)'!$AS$7:$AS$1840,$AN25)+SUMIFS('3. 일출(자체)'!$AE$7:$AE$1837,'3. 일출(자체)'!$AM$7:$AM$1837,$AN25),IF($AO25="지방채",SUMIFS('3. 일출(의존)'!$AD$7:$AD$1840,'3. 일출(의존)'!$AS$7:$AS$1840,$AN25)+SUMIFS('3. 일출(자체)'!$AD$7:$AD$1837,'3. 일출(자체)'!$AM$7:$AM$1837,$AN25),0)))</f>
        <v/>
      </c>
      <c r="AW25" s="313" t="str">
        <f>IF($AN25="","", COUNTIF('3. 일출(의존)'!$AS$7:$AS$1840,$AN25)+COUNTIF('3. 일출(자체)'!$AM$7:$AM$1837,$AN25))</f>
        <v/>
      </c>
      <c r="AX25" s="310" t="str">
        <f t="shared" si="41"/>
        <v/>
      </c>
      <c r="AY25" s="76"/>
      <c r="AZ25" s="398" t="str">
        <f>IF($AK25="","", SUMIFS('3. 일출(의존)'!$AH$7:$AH$1829,'3. 일출(의존)'!$AN$7:$AN$1829,$AK25))</f>
        <v/>
      </c>
      <c r="BA25" s="313" t="str">
        <f>IF($AK25="","", COUNTIF('3. 일출(의존)'!$AN$7:$AN$1829,$AK25))</f>
        <v/>
      </c>
      <c r="BB25" s="310" t="str">
        <f t="shared" si="42"/>
        <v/>
      </c>
      <c r="BC25" s="398" t="str">
        <f>IF($AN25="","",IF($AO25="지역개발기금",SUMIFS('3. 일출(의존)'!$AK$7:$AK$1840,'3. 일출(의존)'!$AS$7:$AS$1840,$AN25)+SUMIFS('3. 일출(자체)'!$AJ$7:$AJ$1837,'3. 일출(자체)'!$AM$7:$AM$1837,$AN25),IF($AO25="지방채",SUMIFS('3. 일출(의존)'!$AJ$7:$AJ$1840,'3. 일출(의존)'!$AS$7:$AS$1840,$AN25)+SUMIFS('3. 일출(자체)'!$AI$7:$AI$1837,'3. 일출(자체)'!$AM$7:$AM$1837,$AN25),0)))</f>
        <v/>
      </c>
      <c r="BD25" s="313" t="str">
        <f>IF($AN25="","",COUNTIF('3. 일출(의존)'!$AS$7:$AS$1840,$AN25)+COUNTIF('3. 일출(자체)'!$AM$7:$AM$1837,$AN25))</f>
        <v/>
      </c>
      <c r="BE25" s="310" t="str">
        <f t="shared" si="43"/>
        <v/>
      </c>
    </row>
  </sheetData>
  <sheetProtection formatCells="0" autoFilter="0"/>
  <autoFilter ref="A7:BE25" xr:uid="{9450E478-6A05-481F-827B-E8B62F91108D}"/>
  <mergeCells count="53">
    <mergeCell ref="BC5:BE5"/>
    <mergeCell ref="AZ4:BE4"/>
    <mergeCell ref="AZ1:BE1"/>
    <mergeCell ref="AZ5:BB5"/>
    <mergeCell ref="AS5:AU5"/>
    <mergeCell ref="AS1:AX1"/>
    <mergeCell ref="AS4:AX4"/>
    <mergeCell ref="AK4:AL4"/>
    <mergeCell ref="AK5:AK6"/>
    <mergeCell ref="AL5:AL6"/>
    <mergeCell ref="AK1:AL1"/>
    <mergeCell ref="A1:Y1"/>
    <mergeCell ref="R4:R6"/>
    <mergeCell ref="A4:A6"/>
    <mergeCell ref="Q4:Q6"/>
    <mergeCell ref="O4:O6"/>
    <mergeCell ref="Y4:Y6"/>
    <mergeCell ref="S4:S6"/>
    <mergeCell ref="AF1:AI1"/>
    <mergeCell ref="AA1:AD1"/>
    <mergeCell ref="AA5:AA6"/>
    <mergeCell ref="AF5:AF6"/>
    <mergeCell ref="AB5:AD5"/>
    <mergeCell ref="AO5:AO6"/>
    <mergeCell ref="AQ4:AQ6"/>
    <mergeCell ref="AN1:AO1"/>
    <mergeCell ref="AN4:AO4"/>
    <mergeCell ref="AV5:AX5"/>
    <mergeCell ref="AN5:AN6"/>
    <mergeCell ref="B10:G10"/>
    <mergeCell ref="N4:N6"/>
    <mergeCell ref="P4:P6"/>
    <mergeCell ref="I4:I6"/>
    <mergeCell ref="H4:H6"/>
    <mergeCell ref="K4:K6"/>
    <mergeCell ref="L4:L6"/>
    <mergeCell ref="B8:G8"/>
    <mergeCell ref="C4:C6"/>
    <mergeCell ref="G4:G6"/>
    <mergeCell ref="M4:M6"/>
    <mergeCell ref="B4:B6"/>
    <mergeCell ref="J4:J6"/>
    <mergeCell ref="F4:F6"/>
    <mergeCell ref="E4:E6"/>
    <mergeCell ref="D4:D6"/>
    <mergeCell ref="T4:T6"/>
    <mergeCell ref="U4:U6"/>
    <mergeCell ref="X4:X6"/>
    <mergeCell ref="AA4:AD4"/>
    <mergeCell ref="AF4:AI4"/>
    <mergeCell ref="AG5:AI5"/>
    <mergeCell ref="W4:W6"/>
    <mergeCell ref="V4:V6"/>
  </mergeCells>
  <phoneticPr fontId="1" type="noConversion"/>
  <conditionalFormatting sqref="M1:M7 M9 M11:M1048576 K11:L25">
    <cfRule type="containsText" dxfId="383" priority="685" operator="containsText" text="금액입력">
      <formula>NOT(ISERROR(SEARCH("금액입력",K1)))</formula>
    </cfRule>
  </conditionalFormatting>
  <conditionalFormatting sqref="F1:G8 F10:G1048576">
    <cfRule type="containsText" dxfId="382" priority="684" operator="containsText" text="직접입력">
      <formula>NOT(ISERROR(SEARCH("직접입력",F1)))</formula>
    </cfRule>
  </conditionalFormatting>
  <conditionalFormatting sqref="J1:L3 J26:L1048576 J4:J7 J9 J12:K25 K11">
    <cfRule type="containsText" dxfId="381" priority="683" operator="containsText" text="부기명 입력">
      <formula>NOT(ISERROR(SEARCH("부기명 입력",J1)))</formula>
    </cfRule>
  </conditionalFormatting>
  <conditionalFormatting sqref="AX1:AX7 BE1:BE7 AX9 BE9 AX11:AX1048576 BE11:BE1048576 AU11:AU25 BB11:BB25">
    <cfRule type="containsText" dxfId="380" priority="682" operator="containsText" text="@@">
      <formula>NOT(ISERROR(SEARCH("@@",AU1)))</formula>
    </cfRule>
  </conditionalFormatting>
  <conditionalFormatting sqref="K4:K6">
    <cfRule type="containsText" dxfId="379" priority="641" operator="containsText" text="금액입력">
      <formula>NOT(ISERROR(SEARCH("금액입력",K4)))</formula>
    </cfRule>
  </conditionalFormatting>
  <conditionalFormatting sqref="L4:L6">
    <cfRule type="containsText" dxfId="378" priority="640" operator="containsText" text="금액입력">
      <formula>NOT(ISERROR(SEARCH("금액입력",L4)))</formula>
    </cfRule>
  </conditionalFormatting>
  <conditionalFormatting sqref="K7:L7">
    <cfRule type="containsText" dxfId="377" priority="639" operator="containsText" text="금액입력">
      <formula>NOT(ISERROR(SEARCH("금액입력",K7)))</formula>
    </cfRule>
  </conditionalFormatting>
  <conditionalFormatting sqref="J8">
    <cfRule type="containsText" dxfId="376" priority="528" operator="containsText" text="부기명 입력">
      <formula>NOT(ISERROR(SEARCH("부기명 입력",J8)))</formula>
    </cfRule>
  </conditionalFormatting>
  <conditionalFormatting sqref="M8:Q8">
    <cfRule type="containsText" dxfId="375" priority="525" operator="containsText" text="금액입력">
      <formula>NOT(ISERROR(SEARCH("금액입력",M8)))</formula>
    </cfRule>
  </conditionalFormatting>
  <conditionalFormatting sqref="J10">
    <cfRule type="containsText" dxfId="374" priority="510" operator="containsText" text="부기명 입력">
      <formula>NOT(ISERROR(SEARCH("부기명 입력",J10)))</formula>
    </cfRule>
  </conditionalFormatting>
  <conditionalFormatting sqref="M10:Q10">
    <cfRule type="containsText" dxfId="373" priority="507" operator="containsText" text="금액입력">
      <formula>NOT(ISERROR(SEARCH("금액입력",M10)))</formula>
    </cfRule>
  </conditionalFormatting>
  <conditionalFormatting sqref="AU9">
    <cfRule type="containsText" dxfId="372" priority="471" operator="containsText" text="@@">
      <formula>NOT(ISERROR(SEARCH("@@",AU9)))</formula>
    </cfRule>
  </conditionalFormatting>
  <conditionalFormatting sqref="BB9">
    <cfRule type="containsText" dxfId="371" priority="469" operator="containsText" text="@@">
      <formula>NOT(ISERROR(SEARCH("@@",BB9)))</formula>
    </cfRule>
  </conditionalFormatting>
  <conditionalFormatting sqref="AU7">
    <cfRule type="containsText" dxfId="370" priority="404" operator="containsText" text="@@">
      <formula>NOT(ISERROR(SEARCH("@@",AU7)))</formula>
    </cfRule>
  </conditionalFormatting>
  <conditionalFormatting sqref="BB7">
    <cfRule type="containsText" dxfId="369" priority="403" operator="containsText" text="@@">
      <formula>NOT(ISERROR(SEARCH("@@",BB7)))</formula>
    </cfRule>
  </conditionalFormatting>
  <conditionalFormatting sqref="B9:C9 B11:C25">
    <cfRule type="containsText" dxfId="368" priority="241" operator="containsText" text="직접입력">
      <formula>NOT(ISERROR(SEARCH("직접입력",B9)))</formula>
    </cfRule>
  </conditionalFormatting>
  <conditionalFormatting sqref="K8:L8">
    <cfRule type="containsText" dxfId="367" priority="165" operator="containsText" text="금액입력">
      <formula>NOT(ISERROR(SEARCH("금액입력",K8)))</formula>
    </cfRule>
  </conditionalFormatting>
  <conditionalFormatting sqref="K10:L10">
    <cfRule type="containsText" dxfId="366" priority="163" operator="containsText" text="금액입력">
      <formula>NOT(ISERROR(SEARCH("금액입력",K10)))</formula>
    </cfRule>
  </conditionalFormatting>
  <conditionalFormatting sqref="F9:G9">
    <cfRule type="containsText" dxfId="365" priority="34" operator="containsText" text="직접입력">
      <formula>NOT(ISERROR(SEARCH("직접입력",F9)))</formula>
    </cfRule>
  </conditionalFormatting>
  <conditionalFormatting sqref="K9">
    <cfRule type="containsText" dxfId="364" priority="10" operator="containsText" text="부기명 입력">
      <formula>NOT(ISERROR(SEARCH("부기명 입력",K9)))</formula>
    </cfRule>
  </conditionalFormatting>
  <conditionalFormatting sqref="K9">
    <cfRule type="containsText" dxfId="363" priority="9" operator="containsText" text="금액입력">
      <formula>NOT(ISERROR(SEARCH("금액입력",K9)))</formula>
    </cfRule>
  </conditionalFormatting>
  <conditionalFormatting sqref="L9">
    <cfRule type="containsText" dxfId="362" priority="8" operator="containsText" text="금액입력">
      <formula>NOT(ISERROR(SEARCH("금액입력",L9)))</formula>
    </cfRule>
  </conditionalFormatting>
  <conditionalFormatting sqref="J11">
    <cfRule type="containsText" dxfId="361" priority="1" operator="containsText" text="세부사업명 입력">
      <formula>NOT(ISERROR(SEARCH("세부사업명 입력",J11)))</formula>
    </cfRule>
  </conditionalFormatting>
  <dataValidations count="7">
    <dataValidation type="list" allowBlank="1" showInputMessage="1" showErrorMessage="1" sqref="E7" xr:uid="{00000000-0002-0000-0400-000000000000}">
      <formula1>"본예산, 신규"</formula1>
    </dataValidation>
    <dataValidation type="list" allowBlank="1" showInputMessage="1" showErrorMessage="1" sqref="AL9 AL11:AL25" xr:uid="{00000000-0002-0000-0400-000002000000}">
      <formula1>"도비,국비,균특,기금,특교,소교"</formula1>
    </dataValidation>
    <dataValidation type="list" allowBlank="1" showInputMessage="1" showErrorMessage="1" sqref="U9 U11:U25" xr:uid="{00000000-0002-0000-0400-000003000000}">
      <formula1>"동의, 부동의, 미실시"</formula1>
    </dataValidation>
    <dataValidation type="list" allowBlank="1" showInputMessage="1" showErrorMessage="1" sqref="AO9 AO11:AO25" xr:uid="{1435FA91-610F-4254-B1A2-D517B349E770}">
      <formula1>"지방채,지역개발기금,자체,국비"</formula1>
    </dataValidation>
    <dataValidation type="list" allowBlank="1" showInputMessage="1" showErrorMessage="1" sqref="E9 E11:E25" xr:uid="{07C28ADA-3705-4B51-AA88-CA342201008E}">
      <formula1>"본예산, 1추, 2추, 신규"</formula1>
    </dataValidation>
    <dataValidation type="custom" allowBlank="1" showInputMessage="1" showErrorMessage="1" sqref="B9 B11:B25" xr:uid="{B6A5E1B3-38CA-4B54-8318-4136367CFA29}">
      <formula1>"의회운영위원회"</formula1>
    </dataValidation>
    <dataValidation type="list" allowBlank="1" showInputMessage="1" showErrorMessage="1" sqref="D9" xr:uid="{6B003B84-CBA8-4E52-92EF-9679BDAAD557}">
      <formula1>#REF!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19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2C751DA-5186-4FC8-887D-B5155C9925B8}">
          <x14:formula1>
            <xm:f>구분표!$AL$3:$AL$7</xm:f>
          </x14:formula1>
          <xm:sqref>C9</xm:sqref>
        </x14:dataValidation>
        <x14:dataValidation type="list" allowBlank="1" showInputMessage="1" showErrorMessage="1" xr:uid="{AD1393B6-2E82-45CB-9078-9965183A14EE}">
          <x14:formula1>
            <xm:f>구분표!$AB$3:$AB$14</xm:f>
          </x14:formula1>
          <xm:sqref>D11:D25</xm:sqref>
        </x14:dataValidation>
        <x14:dataValidation type="list" allowBlank="1" showInputMessage="1" showErrorMessage="1" xr:uid="{2AF24478-053D-4249-8324-FDD951A82121}">
          <x14:formula1>
            <xm:f>구분표!$AN$3:$AN$6</xm:f>
          </x14:formula1>
          <xm:sqref>C11:C25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00FF"/>
    <pageSetUpPr fitToPage="1"/>
  </sheetPr>
  <dimension ref="A1:AS20"/>
  <sheetViews>
    <sheetView tabSelected="1" zoomScale="55" zoomScaleNormal="55" zoomScaleSheetLayoutView="55" workbookViewId="0">
      <pane ySplit="6" topLeftCell="A7" activePane="bottomLeft" state="frozen"/>
      <selection pane="bottomLeft" activeCell="K8" sqref="K8"/>
    </sheetView>
  </sheetViews>
  <sheetFormatPr defaultColWidth="9" defaultRowHeight="50.1" customHeight="1"/>
  <cols>
    <col min="1" max="1" width="7.625" style="22" bestFit="1" customWidth="1"/>
    <col min="2" max="2" width="34.5" style="47" bestFit="1" customWidth="1"/>
    <col min="3" max="3" width="20.25" style="47" bestFit="1" customWidth="1"/>
    <col min="4" max="4" width="22" style="47" bestFit="1" customWidth="1"/>
    <col min="5" max="5" width="9" style="47" customWidth="1"/>
    <col min="6" max="7" width="15.625" style="20" customWidth="1"/>
    <col min="8" max="8" width="12.625" style="20" bestFit="1" customWidth="1"/>
    <col min="9" max="10" width="16.25" style="20" customWidth="1"/>
    <col min="11" max="12" width="45.625" style="379" customWidth="1"/>
    <col min="13" max="14" width="25.625" style="379" customWidth="1"/>
    <col min="15" max="15" width="21.5" style="380" customWidth="1"/>
    <col min="16" max="18" width="25.625" style="380" customWidth="1"/>
    <col min="19" max="19" width="25.625" style="404" customWidth="1"/>
    <col min="20" max="20" width="12.625" style="20" bestFit="1" customWidth="1"/>
    <col min="21" max="21" width="19.625" style="31" bestFit="1" customWidth="1"/>
    <col min="22" max="22" width="30.625" style="32" customWidth="1"/>
    <col min="23" max="23" width="16" style="33" customWidth="1"/>
    <col min="24" max="24" width="30.625" style="33" customWidth="1"/>
    <col min="25" max="25" width="16.5" style="33" customWidth="1"/>
    <col min="26" max="26" width="33.25" style="21" customWidth="1"/>
    <col min="27" max="27" width="16.5" style="21" customWidth="1"/>
    <col min="28" max="28" width="7.5" style="20" customWidth="1"/>
    <col min="29" max="30" width="20.625" style="380" customWidth="1"/>
    <col min="31" max="31" width="24.125" style="380" customWidth="1"/>
    <col min="32" max="32" width="25.625" style="20" customWidth="1"/>
    <col min="33" max="33" width="2.125" style="20" customWidth="1"/>
    <col min="34" max="36" width="20.625" style="380" customWidth="1"/>
    <col min="37" max="37" width="25.625" style="20" customWidth="1"/>
    <col min="38" max="38" width="2.5" style="20" customWidth="1"/>
    <col min="39" max="39" width="26.25" style="35" customWidth="1"/>
    <col min="40" max="40" width="17.875" style="20" customWidth="1"/>
    <col min="41" max="41" width="16.5" style="35" customWidth="1"/>
    <col min="42" max="42" width="14.875" style="20" customWidth="1"/>
    <col min="43" max="43" width="2.625" style="20" customWidth="1"/>
    <col min="44" max="44" width="16.5" style="20" customWidth="1"/>
    <col min="45" max="45" width="1.5" style="20" customWidth="1"/>
    <col min="46" max="16384" width="9" style="20"/>
  </cols>
  <sheetData>
    <row r="1" spans="1:45" s="275" customFormat="1" ht="96.75" customHeight="1">
      <c r="A1" s="620" t="s">
        <v>1014</v>
      </c>
      <c r="B1" s="620"/>
      <c r="C1" s="620"/>
      <c r="D1" s="620"/>
      <c r="E1" s="620"/>
      <c r="F1" s="620"/>
      <c r="G1" s="620"/>
      <c r="H1" s="620"/>
      <c r="I1" s="620"/>
      <c r="J1" s="620"/>
      <c r="K1" s="620"/>
      <c r="L1" s="620"/>
      <c r="M1" s="620"/>
      <c r="N1" s="620"/>
      <c r="O1" s="620"/>
      <c r="P1" s="620"/>
      <c r="Q1" s="620"/>
      <c r="R1" s="620"/>
      <c r="S1" s="620"/>
      <c r="T1" s="620"/>
      <c r="U1" s="620"/>
      <c r="V1" s="620"/>
      <c r="W1" s="620"/>
      <c r="X1" s="620"/>
      <c r="Y1" s="620"/>
      <c r="Z1" s="620"/>
      <c r="AA1" s="620"/>
      <c r="AC1" s="631" t="s">
        <v>1068</v>
      </c>
      <c r="AD1" s="632"/>
      <c r="AE1" s="632"/>
      <c r="AF1" s="633"/>
      <c r="AH1" s="634" t="s">
        <v>1067</v>
      </c>
      <c r="AI1" s="635"/>
      <c r="AJ1" s="635"/>
      <c r="AK1" s="636"/>
      <c r="AM1" s="639" t="s">
        <v>1086</v>
      </c>
      <c r="AN1" s="640"/>
      <c r="AO1" s="640"/>
      <c r="AP1" s="641"/>
      <c r="AQ1" s="20"/>
      <c r="AR1" s="20"/>
      <c r="AS1" s="20"/>
    </row>
    <row r="2" spans="1:45" s="139" customFormat="1" ht="39.75" customHeight="1">
      <c r="A2" s="138"/>
      <c r="B2" s="621"/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464"/>
      <c r="N2" s="464"/>
      <c r="O2" s="381"/>
      <c r="P2" s="399" t="e">
        <f>SUM(#REF!)/2</f>
        <v>#REF!</v>
      </c>
      <c r="Q2" s="399" t="e">
        <f>SUM(#REF!)/2</f>
        <v>#REF!</v>
      </c>
      <c r="R2" s="400" t="e">
        <f>SUM(#REF!)/2</f>
        <v>#REF!</v>
      </c>
      <c r="S2" s="399" t="e">
        <f>SUM(#REF!)/2</f>
        <v>#REF!</v>
      </c>
      <c r="T2" s="140"/>
      <c r="U2" s="30" t="s">
        <v>297</v>
      </c>
      <c r="V2" s="30"/>
      <c r="W2" s="34"/>
      <c r="X2" s="34"/>
      <c r="Y2" s="627" t="s">
        <v>299</v>
      </c>
      <c r="Z2" s="627"/>
      <c r="AA2" s="627"/>
      <c r="AC2" s="405"/>
      <c r="AD2" s="405"/>
      <c r="AE2" s="405"/>
      <c r="AF2" s="289" t="s">
        <v>114</v>
      </c>
      <c r="AH2" s="405"/>
      <c r="AI2" s="405"/>
      <c r="AJ2" s="405"/>
      <c r="AK2" s="289" t="s">
        <v>1021</v>
      </c>
      <c r="AM2" s="22"/>
      <c r="AN2" s="23"/>
      <c r="AO2" s="22"/>
      <c r="AP2" s="23"/>
      <c r="AQ2" s="20"/>
      <c r="AR2" s="20"/>
      <c r="AS2" s="20"/>
    </row>
    <row r="3" spans="1:45" s="272" customFormat="1" ht="39.950000000000003" customHeight="1">
      <c r="A3" s="579" t="s">
        <v>184</v>
      </c>
      <c r="B3" s="583" t="s">
        <v>110</v>
      </c>
      <c r="C3" s="583" t="s">
        <v>111</v>
      </c>
      <c r="D3" s="583" t="s">
        <v>112</v>
      </c>
      <c r="E3" s="622" t="s">
        <v>113</v>
      </c>
      <c r="F3" s="622" t="s">
        <v>1084</v>
      </c>
      <c r="G3" s="622" t="s">
        <v>251</v>
      </c>
      <c r="H3" s="628" t="s">
        <v>547</v>
      </c>
      <c r="I3" s="628" t="s">
        <v>271</v>
      </c>
      <c r="J3" s="628" t="s">
        <v>270</v>
      </c>
      <c r="K3" s="626" t="s">
        <v>758</v>
      </c>
      <c r="L3" s="626" t="s">
        <v>504</v>
      </c>
      <c r="M3" s="580" t="s">
        <v>1642</v>
      </c>
      <c r="N3" s="580" t="s">
        <v>1637</v>
      </c>
      <c r="O3" s="580" t="s">
        <v>1076</v>
      </c>
      <c r="P3" s="568" t="s">
        <v>1077</v>
      </c>
      <c r="Q3" s="567" t="s">
        <v>1080</v>
      </c>
      <c r="R3" s="568" t="s">
        <v>1078</v>
      </c>
      <c r="S3" s="567" t="s">
        <v>1079</v>
      </c>
      <c r="T3" s="598" t="s">
        <v>258</v>
      </c>
      <c r="U3" s="567" t="s">
        <v>255</v>
      </c>
      <c r="V3" s="567" t="s">
        <v>254</v>
      </c>
      <c r="W3" s="567" t="s">
        <v>256</v>
      </c>
      <c r="X3" s="598" t="s">
        <v>257</v>
      </c>
      <c r="Y3" s="598" t="s">
        <v>298</v>
      </c>
      <c r="Z3" s="598" t="s">
        <v>268</v>
      </c>
      <c r="AA3" s="568" t="s">
        <v>267</v>
      </c>
      <c r="AC3" s="617" t="s">
        <v>1017</v>
      </c>
      <c r="AD3" s="618"/>
      <c r="AE3" s="618"/>
      <c r="AF3" s="619"/>
      <c r="AH3" s="608" t="s">
        <v>1018</v>
      </c>
      <c r="AI3" s="609"/>
      <c r="AJ3" s="609"/>
      <c r="AK3" s="610"/>
      <c r="AM3" s="643" t="s">
        <v>1055</v>
      </c>
      <c r="AN3" s="644"/>
      <c r="AO3" s="644"/>
      <c r="AP3" s="645"/>
      <c r="AR3" s="585" t="s">
        <v>1045</v>
      </c>
      <c r="AS3" s="20"/>
    </row>
    <row r="4" spans="1:45" s="272" customFormat="1" ht="39.950000000000003" customHeight="1">
      <c r="A4" s="579"/>
      <c r="B4" s="583"/>
      <c r="C4" s="583"/>
      <c r="D4" s="583"/>
      <c r="E4" s="623"/>
      <c r="F4" s="623"/>
      <c r="G4" s="623"/>
      <c r="H4" s="629"/>
      <c r="I4" s="629"/>
      <c r="J4" s="629"/>
      <c r="K4" s="626"/>
      <c r="L4" s="626"/>
      <c r="M4" s="580"/>
      <c r="N4" s="580"/>
      <c r="O4" s="580"/>
      <c r="P4" s="569"/>
      <c r="Q4" s="567"/>
      <c r="R4" s="569"/>
      <c r="S4" s="567"/>
      <c r="T4" s="598"/>
      <c r="U4" s="567"/>
      <c r="V4" s="567"/>
      <c r="W4" s="567"/>
      <c r="X4" s="598"/>
      <c r="Y4" s="598"/>
      <c r="Z4" s="598"/>
      <c r="AA4" s="569"/>
      <c r="AC4" s="638" t="s">
        <v>119</v>
      </c>
      <c r="AD4" s="638"/>
      <c r="AE4" s="638"/>
      <c r="AF4" s="588" t="s">
        <v>1048</v>
      </c>
      <c r="AH4" s="638" t="s">
        <v>119</v>
      </c>
      <c r="AI4" s="638"/>
      <c r="AJ4" s="638"/>
      <c r="AK4" s="588" t="s">
        <v>1063</v>
      </c>
      <c r="AM4" s="585" t="s">
        <v>122</v>
      </c>
      <c r="AN4" s="585" t="s">
        <v>1042</v>
      </c>
      <c r="AO4" s="585" t="s">
        <v>1043</v>
      </c>
      <c r="AP4" s="585" t="s">
        <v>1022</v>
      </c>
      <c r="AR4" s="642"/>
      <c r="AS4" s="20"/>
    </row>
    <row r="5" spans="1:45" s="272" customFormat="1" ht="39.950000000000003" customHeight="1">
      <c r="A5" s="579"/>
      <c r="B5" s="583"/>
      <c r="C5" s="583"/>
      <c r="D5" s="583"/>
      <c r="E5" s="624"/>
      <c r="F5" s="624"/>
      <c r="G5" s="624"/>
      <c r="H5" s="630"/>
      <c r="I5" s="630"/>
      <c r="J5" s="630"/>
      <c r="K5" s="626"/>
      <c r="L5" s="626"/>
      <c r="M5" s="581"/>
      <c r="N5" s="581"/>
      <c r="O5" s="581"/>
      <c r="P5" s="570"/>
      <c r="Q5" s="599"/>
      <c r="R5" s="570"/>
      <c r="S5" s="599"/>
      <c r="T5" s="598"/>
      <c r="U5" s="567"/>
      <c r="V5" s="567"/>
      <c r="W5" s="567"/>
      <c r="X5" s="598"/>
      <c r="Y5" s="598"/>
      <c r="Z5" s="598"/>
      <c r="AA5" s="570"/>
      <c r="AC5" s="406" t="s">
        <v>1038</v>
      </c>
      <c r="AD5" s="406" t="s">
        <v>1035</v>
      </c>
      <c r="AE5" s="406" t="s">
        <v>773</v>
      </c>
      <c r="AF5" s="637"/>
      <c r="AH5" s="406" t="s">
        <v>1037</v>
      </c>
      <c r="AI5" s="406" t="s">
        <v>1034</v>
      </c>
      <c r="AJ5" s="406" t="s">
        <v>1036</v>
      </c>
      <c r="AK5" s="637"/>
      <c r="AM5" s="586"/>
      <c r="AN5" s="586"/>
      <c r="AO5" s="586"/>
      <c r="AP5" s="586"/>
      <c r="AR5" s="586"/>
      <c r="AS5" s="20"/>
    </row>
    <row r="6" spans="1:45" s="346" customFormat="1" ht="80.099999999999994" customHeight="1">
      <c r="A6" s="134"/>
      <c r="B6" s="134" t="s">
        <v>128</v>
      </c>
      <c r="C6" s="342" t="s">
        <v>191</v>
      </c>
      <c r="D6" s="342"/>
      <c r="E6" s="134"/>
      <c r="F6" s="134"/>
      <c r="G6" s="134"/>
      <c r="H6" s="134"/>
      <c r="I6" s="134"/>
      <c r="J6" s="134"/>
      <c r="K6" s="339" t="s">
        <v>191</v>
      </c>
      <c r="L6" s="340" t="str">
        <f>SUBTOTAL(3,L$7:L$1837)&amp;"건"</f>
        <v>4건</v>
      </c>
      <c r="M6" s="401">
        <f t="shared" ref="M6:S6" si="0">SUBTOTAL(9,M$7:M$1837)</f>
        <v>18644000</v>
      </c>
      <c r="N6" s="401">
        <f t="shared" si="0"/>
        <v>-2802882</v>
      </c>
      <c r="O6" s="401">
        <f t="shared" si="0"/>
        <v>15841118</v>
      </c>
      <c r="P6" s="401">
        <f t="shared" si="0"/>
        <v>2751882</v>
      </c>
      <c r="Q6" s="401">
        <f t="shared" si="0"/>
        <v>18593000</v>
      </c>
      <c r="R6" s="401">
        <f t="shared" si="0"/>
        <v>0</v>
      </c>
      <c r="S6" s="401">
        <f t="shared" si="0"/>
        <v>15841118</v>
      </c>
      <c r="T6" s="134"/>
      <c r="U6" s="343"/>
      <c r="V6" s="344"/>
      <c r="W6" s="134"/>
      <c r="X6" s="134"/>
      <c r="Y6" s="134"/>
      <c r="Z6" s="344"/>
      <c r="AA6" s="345"/>
      <c r="AC6" s="401">
        <f>SUBTOTAL(9,AC$7:AC$1837)</f>
        <v>2751882</v>
      </c>
      <c r="AD6" s="401">
        <f>SUBTOTAL(9,AD$7:AD$1837)</f>
        <v>0</v>
      </c>
      <c r="AE6" s="401">
        <f>SUBTOTAL(9,AE$7:AE$1837)</f>
        <v>0</v>
      </c>
      <c r="AF6" s="335" t="str">
        <f>IF(COUNTIF(AF$7:AF$1837,"@@")&gt;0,"@@","OK")</f>
        <v>OK</v>
      </c>
      <c r="AH6" s="401">
        <f>SUBTOTAL(9,AH$7:AH$1837)</f>
        <v>0</v>
      </c>
      <c r="AI6" s="401">
        <f>SUBTOTAL(9,AI$7:AI$1837)</f>
        <v>0</v>
      </c>
      <c r="AJ6" s="401">
        <f>SUBTOTAL(9,AJ$7:AJ$1837)</f>
        <v>0</v>
      </c>
      <c r="AK6" s="335" t="str">
        <f>IF(COUNTIF(AK$7:AK$1837,"@@")&gt;0,"@@","OK")</f>
        <v>OK</v>
      </c>
      <c r="AM6" s="347"/>
      <c r="AN6" s="335" t="str">
        <f>IF(COUNTIF(AN$7:AN$1837,"@@")&gt;0,"@@","OK")</f>
        <v>OK</v>
      </c>
      <c r="AO6" s="347"/>
      <c r="AP6" s="335" t="str">
        <f>IF(COUNTIF(AP$7:AP$1837,"@@")&gt;0,"@@","OK")</f>
        <v>OK</v>
      </c>
      <c r="AQ6" s="329"/>
      <c r="AR6" s="330"/>
      <c r="AS6" s="329"/>
    </row>
    <row r="7" spans="1:45" s="279" customFormat="1" ht="60" customHeight="1">
      <c r="A7" s="278"/>
      <c r="B7" s="625" t="s">
        <v>243</v>
      </c>
      <c r="C7" s="625"/>
      <c r="D7" s="625"/>
      <c r="E7" s="625"/>
      <c r="F7" s="625"/>
      <c r="G7" s="625"/>
      <c r="H7" s="187"/>
      <c r="I7" s="297"/>
      <c r="J7" s="297"/>
      <c r="K7" s="349"/>
      <c r="L7" s="350" t="str">
        <f>SUBTOTAL(3,L8:L19)&amp;"건"</f>
        <v>4건</v>
      </c>
      <c r="M7" s="402">
        <f t="shared" ref="M7:S7" si="1">SUBTOTAL(9,M8:M19)</f>
        <v>18644000</v>
      </c>
      <c r="N7" s="402">
        <f t="shared" si="1"/>
        <v>-2802882</v>
      </c>
      <c r="O7" s="402">
        <f t="shared" si="1"/>
        <v>15841118</v>
      </c>
      <c r="P7" s="402">
        <f t="shared" si="1"/>
        <v>2751882</v>
      </c>
      <c r="Q7" s="402">
        <f t="shared" si="1"/>
        <v>18593000</v>
      </c>
      <c r="R7" s="402">
        <f t="shared" si="1"/>
        <v>0</v>
      </c>
      <c r="S7" s="402">
        <f t="shared" si="1"/>
        <v>15841118</v>
      </c>
      <c r="T7" s="348"/>
      <c r="U7" s="351"/>
      <c r="V7" s="351"/>
      <c r="W7" s="136"/>
      <c r="X7" s="136"/>
      <c r="Y7" s="136"/>
      <c r="Z7" s="137"/>
      <c r="AA7" s="136"/>
      <c r="AC7" s="407">
        <f>SUBTOTAL(9,AC8:AC19)</f>
        <v>2751882</v>
      </c>
      <c r="AD7" s="407">
        <f>SUBTOTAL(9,AD8:AD19)</f>
        <v>0</v>
      </c>
      <c r="AE7" s="407">
        <f>SUBTOTAL(9,AE8:AE19)</f>
        <v>0</v>
      </c>
      <c r="AF7" s="469" t="str">
        <f>IF(COUNTIF(AF8:AF19,"@@")&gt;0,"@@","OK")</f>
        <v>OK</v>
      </c>
      <c r="AG7" s="120"/>
      <c r="AH7" s="407">
        <f>SUBTOTAL(9,AH8:AH19)</f>
        <v>0</v>
      </c>
      <c r="AI7" s="407">
        <f>SUBTOTAL(9,AI8:AI19)</f>
        <v>0</v>
      </c>
      <c r="AJ7" s="407">
        <f>SUBTOTAL(9,AJ8:AJ19)</f>
        <v>0</v>
      </c>
      <c r="AK7" s="469" t="str">
        <f>IF(COUNTIF(AK8:AK19,"@@")&gt;0,"@@","OK")</f>
        <v>OK</v>
      </c>
      <c r="AL7" s="120"/>
      <c r="AM7" s="352"/>
      <c r="AN7" s="469" t="str">
        <f>IF(COUNTIF(AN8:AN19,"@@")&gt;0,"@@","OK")</f>
        <v>OK</v>
      </c>
      <c r="AO7" s="352"/>
      <c r="AP7" s="469" t="str">
        <f>IF(COUNTIF(AP8:AP19,"@@")&gt;0,"@@","OK")</f>
        <v>OK</v>
      </c>
      <c r="AQ7" s="119"/>
      <c r="AR7" s="352"/>
      <c r="AS7" s="20"/>
    </row>
    <row r="8" spans="1:45" s="19" customFormat="1" ht="80.099999999999994" customHeight="1">
      <c r="A8" s="115">
        <f>IF(D8="","",COUNTA($C$7:C8)-COUNTBLANK($C$7:C8)+11)</f>
        <v>11</v>
      </c>
      <c r="B8" s="116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>여성가족평생교육위원회</v>
      </c>
      <c r="C8" s="116" t="str">
        <f>IF(D8="","",IF(OR(D8="교육지원과",D8="총무과",D8="인사과"),"직접입력",VLOOKUP(D8,구분표!$A$3:$C$258,3,)))</f>
        <v>미래평생교육국</v>
      </c>
      <c r="D8" s="167" t="s">
        <v>201</v>
      </c>
      <c r="E8" s="161" t="s">
        <v>1638</v>
      </c>
      <c r="F8" s="323">
        <v>1080</v>
      </c>
      <c r="G8" s="323">
        <v>87</v>
      </c>
      <c r="H8" s="161" t="s">
        <v>1653</v>
      </c>
      <c r="I8" s="116" t="str">
        <f>IF(H8="","",VLOOKUP($H8,구분표!$K$3:$M$151,2,FALSE))</f>
        <v>자치단체등 이전</v>
      </c>
      <c r="J8" s="116" t="str">
        <f>IF(I8="","",VLOOKUP($H8,구분표!$K$3:$M$151,3,FALSE))</f>
        <v>공기관등에대한경상적위탁사업비</v>
      </c>
      <c r="K8" s="180" t="s">
        <v>1659</v>
      </c>
      <c r="L8" s="180" t="s">
        <v>1660</v>
      </c>
      <c r="M8" s="385">
        <v>30000</v>
      </c>
      <c r="N8" s="385">
        <v>-30000</v>
      </c>
      <c r="O8" s="387">
        <f t="shared" ref="O8:O19" si="2">IF($E8="","",SUM(M8:N8))</f>
        <v>0</v>
      </c>
      <c r="P8" s="386">
        <v>10000</v>
      </c>
      <c r="Q8" s="387">
        <f t="shared" ref="Q8:Q19" si="3">SUM(O8:P8)</f>
        <v>10000</v>
      </c>
      <c r="R8" s="388"/>
      <c r="S8" s="389">
        <f t="shared" ref="S8:S19" si="4">SUM(O8,R8)</f>
        <v>0</v>
      </c>
      <c r="T8" s="118" t="str">
        <f t="shared" ref="T8:T19" si="5">IF(AND((Q8=0),(S8&gt;0)),"O",IF(AND((P8&lt;0),(Q8-S8&lt;0)),"O","X"))</f>
        <v>X</v>
      </c>
      <c r="U8" s="168"/>
      <c r="V8" s="274"/>
      <c r="W8" s="169" t="s">
        <v>1664</v>
      </c>
      <c r="X8" s="170"/>
      <c r="Y8" s="168"/>
      <c r="Z8" s="170"/>
      <c r="AA8" s="168"/>
      <c r="AC8" s="413">
        <f t="shared" ref="AC8:AC19" si="6">IF($P8="", 0, IF(AND(ISNUMBER(AD8), ISNUMBER(AE8)), $P8-$AD8-$AE8, 0))</f>
        <v>10000</v>
      </c>
      <c r="AD8" s="413">
        <f t="shared" ref="AD8:AD19" si="7">IF($P8="", 0, IF(COUNT(FIND("(지방채)",$L8))&gt;0, "재원입력필요", 0))</f>
        <v>0</v>
      </c>
      <c r="AE8" s="413">
        <f t="shared" ref="AE8:AE19" si="8">IF($P8="", 0, IF(COUNT(FIND("(지역개발기금)",$L8))&gt;0, "재원입력필요", 0))</f>
        <v>0</v>
      </c>
      <c r="AF8" s="310" t="str">
        <f t="shared" ref="AF8:AF19" si="9">IF($P8="", IF(SUM($AC8:$AE8)=0, "", "@@"), IF(AND($P8=SUM($AC8:$AE8),Q8&gt;=0),"OK","@@"))</f>
        <v>OK</v>
      </c>
      <c r="AG8" s="120"/>
      <c r="AH8" s="413">
        <f t="shared" ref="AH8:AH19" si="10">IF($R8="", 0, IF(AND(ISNUMBER($AI8), ISNUMBER($AJ8)), $R8-$AI8-$AJ8, 0))</f>
        <v>0</v>
      </c>
      <c r="AI8" s="413">
        <f t="shared" ref="AI8:AI19" si="11">IF($P8="", 0, IF(COUNT(FIND("(지방채)",$L8))&gt;0, "재원입력필요", 0))</f>
        <v>0</v>
      </c>
      <c r="AJ8" s="413">
        <f t="shared" ref="AJ8:AJ19" si="12">IF($P8="", 0, IF(COUNT(FIND("(지역개발기금)",$L8))&gt;0, "재원입력필요", 0))</f>
        <v>0</v>
      </c>
      <c r="AK8" s="310" t="str">
        <f t="shared" ref="AK8:AK19" si="13">IF($R8="", IF(SUM($AH8:$AJ8)=0, "", "@@"), IF(AND($R8=SUM($AH8:$AJ8),$S8&gt;=0),"OK","@@"))</f>
        <v/>
      </c>
      <c r="AL8" s="7"/>
      <c r="AM8" s="453"/>
      <c r="AN8" s="310" t="str">
        <f>IF($AM8="","", IF($AM8="세입없음", "OK",  IF(COUNTIF('3. 일입'!$AN$8:$AN$1831,$AM8), "OK","@@")))</f>
        <v/>
      </c>
      <c r="AO8" s="296" t="str">
        <f t="shared" ref="AO8:AO19" si="14">IF($L8="","",IF(COUNT(FIND("(지역개발기금)",$L8)),"지역개발기금",IF(COUNT(FIND("지방채",$L8)),"지방채","자체")))</f>
        <v>자체</v>
      </c>
      <c r="AP8" s="310" t="str">
        <f t="shared" ref="AP8:AP19" si="15">IF($AM8="", IF($AO8="", "", IF($AO8="자체", "OK", "@@")), IF($AM8="세입없음", "OK", IF($AO8="", "@@", IF(ISNUMBER(FIND($AO8,$AM8)),"OK","@@"))))</f>
        <v>OK</v>
      </c>
      <c r="AQ8" s="78"/>
      <c r="AR8" s="310" t="str">
        <f t="array" ref="AR8">IF(OR($D8="", $C8="직접입력", $B8="직접입력"), "", INDEX(구분표!$I$3:$I$321, MATCH(1,(구분표!$G$3:$G$321=$B8)*(구분표!$E$3:$E$321=$C8)*(구분표!$F$3:$F$321=$D8),0)))</f>
        <v>15001</v>
      </c>
      <c r="AS8" s="20"/>
    </row>
    <row r="9" spans="1:45" s="117" customFormat="1" ht="80.099999999999994" customHeight="1">
      <c r="A9" s="115">
        <f>IF(D9="","",COUNTA($C$7:C9)-COUNTBLANK($C$7:C9)+11)</f>
        <v>12</v>
      </c>
      <c r="B9" s="116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>여성가족평생교육위원회</v>
      </c>
      <c r="C9" s="116" t="str">
        <f>IF(D9="","",IF(OR(D9="교육지원과",D9="총무과",D9="인사과"),"직접입력",VLOOKUP(D9,구분표!$A$3:$C$258,3,)))</f>
        <v>미래평생교육국</v>
      </c>
      <c r="D9" s="167" t="s">
        <v>220</v>
      </c>
      <c r="E9" s="161" t="s">
        <v>1638</v>
      </c>
      <c r="F9" s="323">
        <v>1085</v>
      </c>
      <c r="G9" s="323">
        <v>176</v>
      </c>
      <c r="H9" s="161" t="s">
        <v>408</v>
      </c>
      <c r="I9" s="116" t="str">
        <f>IF(H9="","",VLOOKUP($H9,구분표!$K$3:$M$151,2,FALSE))</f>
        <v>자치단체등 이전</v>
      </c>
      <c r="J9" s="116" t="str">
        <f>IF(I9="","",VLOOKUP($H9,구분표!$K$3:$M$151,3,FALSE))</f>
        <v>자치단체경상보조금</v>
      </c>
      <c r="K9" s="180" t="s">
        <v>1654</v>
      </c>
      <c r="L9" s="180" t="s">
        <v>1655</v>
      </c>
      <c r="M9" s="385">
        <v>11815000</v>
      </c>
      <c r="N9" s="385">
        <v>-1901682</v>
      </c>
      <c r="O9" s="387">
        <f t="shared" si="2"/>
        <v>9913318</v>
      </c>
      <c r="P9" s="386">
        <v>1901682</v>
      </c>
      <c r="Q9" s="387">
        <f t="shared" si="3"/>
        <v>11815000</v>
      </c>
      <c r="R9" s="388"/>
      <c r="S9" s="389">
        <f t="shared" si="4"/>
        <v>9913318</v>
      </c>
      <c r="T9" s="118" t="str">
        <f t="shared" si="5"/>
        <v>X</v>
      </c>
      <c r="U9" s="168"/>
      <c r="V9" s="274"/>
      <c r="W9" s="169" t="s">
        <v>1664</v>
      </c>
      <c r="X9" s="170"/>
      <c r="Y9" s="168"/>
      <c r="Z9" s="170"/>
      <c r="AA9" s="168"/>
      <c r="AB9" s="19"/>
      <c r="AC9" s="413">
        <f t="shared" si="6"/>
        <v>1901682</v>
      </c>
      <c r="AD9" s="413">
        <f t="shared" si="7"/>
        <v>0</v>
      </c>
      <c r="AE9" s="413">
        <f t="shared" si="8"/>
        <v>0</v>
      </c>
      <c r="AF9" s="310" t="str">
        <f t="shared" si="9"/>
        <v>OK</v>
      </c>
      <c r="AG9" s="120"/>
      <c r="AH9" s="413">
        <f t="shared" si="10"/>
        <v>0</v>
      </c>
      <c r="AI9" s="413">
        <f t="shared" si="11"/>
        <v>0</v>
      </c>
      <c r="AJ9" s="413">
        <f t="shared" si="12"/>
        <v>0</v>
      </c>
      <c r="AK9" s="310" t="str">
        <f t="shared" si="13"/>
        <v/>
      </c>
      <c r="AL9" s="7"/>
      <c r="AM9" s="453"/>
      <c r="AN9" s="310" t="str">
        <f>IF($AM9="","", IF($AM9="세입없음", "OK",  IF(COUNTIF('3. 일입'!$AN$8:$AN$1831,$AM9), "OK","@@")))</f>
        <v/>
      </c>
      <c r="AO9" s="296" t="str">
        <f t="shared" si="14"/>
        <v>자체</v>
      </c>
      <c r="AP9" s="310" t="str">
        <f t="shared" si="15"/>
        <v>OK</v>
      </c>
      <c r="AQ9" s="78"/>
      <c r="AR9" s="310" t="str">
        <f t="array" ref="AR9">IF(OR($D9="", $C9="직접입력", $B9="직접입력"), "", INDEX(구분표!$I$3:$I$321, MATCH(1,(구분표!$G$3:$G$321=$B9)*(구분표!$E$3:$E$321=$C9)*(구분표!$F$3:$F$321=$D9),0)))</f>
        <v>15003</v>
      </c>
      <c r="AS9" s="20"/>
    </row>
    <row r="10" spans="1:45" s="19" customFormat="1" ht="80.099999999999994" customHeight="1">
      <c r="A10" s="115">
        <f>IF(D10="","",COUNTA($C$7:C10)-COUNTBLANK($C$7:C10)+11)</f>
        <v>13</v>
      </c>
      <c r="B10" s="116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>여성가족평생교육위원회</v>
      </c>
      <c r="C10" s="116" t="str">
        <f>IF(D10="","",IF(OR(D10="교육지원과",D10="총무과",D10="인사과"),"직접입력",VLOOKUP(D10,구분표!$A$3:$C$258,3,)))</f>
        <v>미래평생교육국</v>
      </c>
      <c r="D10" s="167" t="s">
        <v>220</v>
      </c>
      <c r="E10" s="161" t="s">
        <v>1638</v>
      </c>
      <c r="F10" s="323">
        <v>1088</v>
      </c>
      <c r="G10" s="323">
        <v>220</v>
      </c>
      <c r="H10" s="161" t="s">
        <v>393</v>
      </c>
      <c r="I10" s="116" t="str">
        <f>IF(H10="","",VLOOKUP($H10,구분표!$K$3:$M$151,2,FALSE))</f>
        <v>민간이전</v>
      </c>
      <c r="J10" s="116" t="str">
        <f>IF(I10="","",VLOOKUP($H10,구분표!$K$3:$M$151,3,FALSE))</f>
        <v>민간위탁금</v>
      </c>
      <c r="K10" s="180" t="s">
        <v>1656</v>
      </c>
      <c r="L10" s="180" t="s">
        <v>1657</v>
      </c>
      <c r="M10" s="385">
        <v>1699000</v>
      </c>
      <c r="N10" s="385">
        <v>-106000</v>
      </c>
      <c r="O10" s="387">
        <f t="shared" ref="O10" si="16">IF($E10="","",SUM(M10:N10))</f>
        <v>1593000</v>
      </c>
      <c r="P10" s="386">
        <v>75000</v>
      </c>
      <c r="Q10" s="387">
        <f t="shared" ref="Q10" si="17">SUM(O10:P10)</f>
        <v>1668000</v>
      </c>
      <c r="R10" s="388"/>
      <c r="S10" s="389">
        <f t="shared" ref="S10" si="18">SUM(O10,R10)</f>
        <v>1593000</v>
      </c>
      <c r="T10" s="118" t="str">
        <f t="shared" ref="T10" si="19">IF(AND((Q10=0),(S10&gt;0)),"O",IF(AND((P10&lt;0),(Q10-S10&lt;0)),"O","X"))</f>
        <v>X</v>
      </c>
      <c r="U10" s="168"/>
      <c r="V10" s="274"/>
      <c r="W10" s="169" t="s">
        <v>1664</v>
      </c>
      <c r="X10" s="170"/>
      <c r="Y10" s="168"/>
      <c r="Z10" s="170"/>
      <c r="AA10" s="168"/>
      <c r="AC10" s="413">
        <f t="shared" ref="AC10" si="20">IF($P10="", 0, IF(AND(ISNUMBER(AD10), ISNUMBER(AE10)), $P10-$AD10-$AE10, 0))</f>
        <v>75000</v>
      </c>
      <c r="AD10" s="413">
        <f t="shared" si="7"/>
        <v>0</v>
      </c>
      <c r="AE10" s="413">
        <f t="shared" si="8"/>
        <v>0</v>
      </c>
      <c r="AF10" s="310" t="str">
        <f t="shared" ref="AF10" si="21">IF($P10="", IF(SUM($AC10:$AE10)=0, "", "@@"), IF(AND($P10=SUM($AC10:$AE10),Q10&gt;=0),"OK","@@"))</f>
        <v>OK</v>
      </c>
      <c r="AG10" s="120"/>
      <c r="AH10" s="413">
        <f t="shared" si="10"/>
        <v>0</v>
      </c>
      <c r="AI10" s="413">
        <f t="shared" si="11"/>
        <v>0</v>
      </c>
      <c r="AJ10" s="413">
        <f t="shared" si="12"/>
        <v>0</v>
      </c>
      <c r="AK10" s="310" t="str">
        <f t="shared" si="13"/>
        <v/>
      </c>
      <c r="AL10" s="7"/>
      <c r="AM10" s="453"/>
      <c r="AN10" s="310" t="str">
        <f>IF($AM10="","", IF($AM10="세입없음", "OK",  IF(COUNTIF('3. 일입'!$AN$8:$AN$1831,$AM10), "OK","@@")))</f>
        <v/>
      </c>
      <c r="AO10" s="296" t="str">
        <f t="shared" si="14"/>
        <v>자체</v>
      </c>
      <c r="AP10" s="310" t="str">
        <f t="shared" si="15"/>
        <v>OK</v>
      </c>
      <c r="AQ10" s="78"/>
      <c r="AR10" s="310" t="str">
        <f t="array" ref="AR10">IF(OR($D10="", $C10="직접입력", $B10="직접입력"), "", INDEX(구분표!$I$3:$I$321, MATCH(1,(구분표!$G$3:$G$321=$B10)*(구분표!$E$3:$E$321=$C10)*(구분표!$F$3:$F$321=$D10),0)))</f>
        <v>15003</v>
      </c>
      <c r="AS10" s="20"/>
    </row>
    <row r="11" spans="1:45" s="19" customFormat="1" ht="80.099999999999994" customHeight="1">
      <c r="A11" s="115">
        <f>IF(D11="","",COUNTA($C$7:C11)-COUNTBLANK($C$7:C11)+11)</f>
        <v>14</v>
      </c>
      <c r="B11" s="116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>여성가족평생교육위원회</v>
      </c>
      <c r="C11" s="116" t="str">
        <f>IF(D11="","",IF(OR(D11="교육지원과",D11="총무과",D11="인사과"),"직접입력",VLOOKUP(D11,구분표!$A$3:$C$258,3,)))</f>
        <v>여성가족국</v>
      </c>
      <c r="D11" s="167" t="s">
        <v>221</v>
      </c>
      <c r="E11" s="161" t="s">
        <v>1638</v>
      </c>
      <c r="F11" s="323">
        <v>1121</v>
      </c>
      <c r="G11" s="323">
        <v>335</v>
      </c>
      <c r="H11" s="161" t="s">
        <v>408</v>
      </c>
      <c r="I11" s="116" t="str">
        <f>IF(H11="","",VLOOKUP($H11,구분표!$K$3:$M$151,2,FALSE))</f>
        <v>자치단체등 이전</v>
      </c>
      <c r="J11" s="116" t="str">
        <f>IF(I11="","",VLOOKUP($H11,구분표!$K$3:$M$151,3,FALSE))</f>
        <v>자치단체경상보조금</v>
      </c>
      <c r="K11" s="180" t="s">
        <v>1651</v>
      </c>
      <c r="L11" s="180" t="s">
        <v>1652</v>
      </c>
      <c r="M11" s="385">
        <v>5100000</v>
      </c>
      <c r="N11" s="385">
        <v>-765200</v>
      </c>
      <c r="O11" s="387">
        <f t="shared" ref="O11:O13" si="22">IF($E11="","",SUM(M11:N11))</f>
        <v>4334800</v>
      </c>
      <c r="P11" s="386">
        <v>765200</v>
      </c>
      <c r="Q11" s="387">
        <f t="shared" ref="Q11:Q13" si="23">SUM(O11:P11)</f>
        <v>5100000</v>
      </c>
      <c r="R11" s="388"/>
      <c r="S11" s="389">
        <f t="shared" ref="S11:S13" si="24">SUM(O11,R11)</f>
        <v>4334800</v>
      </c>
      <c r="T11" s="118" t="str">
        <f t="shared" ref="T11:T13" si="25">IF(AND((Q11=0),(S11&gt;0)),"O",IF(AND((P11&lt;0),(Q11-S11&lt;0)),"O","X"))</f>
        <v>X</v>
      </c>
      <c r="U11" s="168"/>
      <c r="V11" s="274"/>
      <c r="W11" s="169" t="s">
        <v>1664</v>
      </c>
      <c r="X11" s="170"/>
      <c r="Y11" s="168"/>
      <c r="Z11" s="170"/>
      <c r="AA11" s="168"/>
      <c r="AC11" s="413">
        <f t="shared" ref="AC11:AC13" si="26">IF($P11="", 0, IF(AND(ISNUMBER(AD11), ISNUMBER(AE11)), $P11-$AD11-$AE11, 0))</f>
        <v>765200</v>
      </c>
      <c r="AD11" s="413">
        <f t="shared" si="7"/>
        <v>0</v>
      </c>
      <c r="AE11" s="413">
        <f t="shared" si="8"/>
        <v>0</v>
      </c>
      <c r="AF11" s="310" t="str">
        <f t="shared" ref="AF11:AF13" si="27">IF($P11="", IF(SUM($AC11:$AE11)=0, "", "@@"), IF(AND($P11=SUM($AC11:$AE11),Q11&gt;=0),"OK","@@"))</f>
        <v>OK</v>
      </c>
      <c r="AG11" s="120"/>
      <c r="AH11" s="413">
        <f t="shared" si="10"/>
        <v>0</v>
      </c>
      <c r="AI11" s="413">
        <f t="shared" si="11"/>
        <v>0</v>
      </c>
      <c r="AJ11" s="413">
        <f t="shared" si="12"/>
        <v>0</v>
      </c>
      <c r="AK11" s="310" t="str">
        <f t="shared" si="13"/>
        <v/>
      </c>
      <c r="AL11" s="7"/>
      <c r="AM11" s="453"/>
      <c r="AN11" s="310" t="str">
        <f>IF($AM11="","", IF($AM11="세입없음", "OK",  IF(COUNTIF('3. 일입'!$AN$8:$AN$1831,$AM11), "OK","@@")))</f>
        <v/>
      </c>
      <c r="AO11" s="296" t="str">
        <f t="shared" si="14"/>
        <v>자체</v>
      </c>
      <c r="AP11" s="310" t="str">
        <f t="shared" si="15"/>
        <v>OK</v>
      </c>
      <c r="AQ11" s="78"/>
      <c r="AR11" s="310" t="str">
        <f t="array" ref="AR11">IF(OR($D11="", $C11="직접입력", $B11="직접입력"), "", INDEX(구분표!$I$3:$I$321, MATCH(1,(구분표!$G$3:$G$321=$B11)*(구분표!$E$3:$E$321=$C11)*(구분표!$F$3:$F$321=$D11),0)))</f>
        <v>16004</v>
      </c>
      <c r="AS11" s="20"/>
    </row>
    <row r="12" spans="1:45" s="19" customFormat="1" ht="80.099999999999994" customHeight="1">
      <c r="A12" s="115" t="str">
        <f>IF(D12="","",COUNTA($C$7:C12)-COUNTBLANK($C$7:C12)+11)</f>
        <v/>
      </c>
      <c r="B12" s="116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16" t="str">
        <f>IF(D12="","",IF(OR(D12="교육지원과",D12="총무과",D12="인사과"),"직접입력",VLOOKUP(D12,구분표!$A$3:$C$258,3,)))</f>
        <v/>
      </c>
      <c r="D12" s="167"/>
      <c r="E12" s="161"/>
      <c r="F12" s="323" t="str">
        <f t="shared" ref="F12:G19" si="28">IF($E12="","",IF($E12="2추","직접입력","-"))</f>
        <v/>
      </c>
      <c r="G12" s="323" t="str">
        <f t="shared" si="28"/>
        <v/>
      </c>
      <c r="H12" s="161"/>
      <c r="I12" s="116" t="str">
        <f>IF(H12="","",VLOOKUP($H12,구분표!$K$3:$M$151,2,FALSE))</f>
        <v/>
      </c>
      <c r="J12" s="116" t="str">
        <f>IF(I12="","",VLOOKUP($H12,구분표!$K$3:$M$151,3,FALSE))</f>
        <v/>
      </c>
      <c r="K12" s="180"/>
      <c r="L12" s="180"/>
      <c r="M12" s="385" t="str">
        <f t="shared" ref="M12:M19" si="29">IF($E12="","",IF(OR($E12="2추", $E12="1추", $E12="본예산"), "금액입력", "-"))</f>
        <v/>
      </c>
      <c r="N12" s="385" t="str">
        <f t="shared" ref="N12:N19" si="30">IF($E12="", "", IF($E12="2추","금액입력", "-"))</f>
        <v/>
      </c>
      <c r="O12" s="387" t="str">
        <f t="shared" si="22"/>
        <v/>
      </c>
      <c r="P12" s="386"/>
      <c r="Q12" s="387">
        <f t="shared" si="23"/>
        <v>0</v>
      </c>
      <c r="R12" s="388"/>
      <c r="S12" s="389">
        <f t="shared" si="24"/>
        <v>0</v>
      </c>
      <c r="T12" s="118" t="str">
        <f t="shared" si="25"/>
        <v>X</v>
      </c>
      <c r="U12" s="168"/>
      <c r="V12" s="274"/>
      <c r="W12" s="169"/>
      <c r="X12" s="170"/>
      <c r="Y12" s="168"/>
      <c r="Z12" s="170"/>
      <c r="AA12" s="168"/>
      <c r="AC12" s="413">
        <f t="shared" si="26"/>
        <v>0</v>
      </c>
      <c r="AD12" s="413">
        <f t="shared" si="7"/>
        <v>0</v>
      </c>
      <c r="AE12" s="413">
        <f t="shared" si="8"/>
        <v>0</v>
      </c>
      <c r="AF12" s="310" t="str">
        <f t="shared" si="27"/>
        <v/>
      </c>
      <c r="AG12" s="120"/>
      <c r="AH12" s="413">
        <f t="shared" si="10"/>
        <v>0</v>
      </c>
      <c r="AI12" s="413">
        <f t="shared" si="11"/>
        <v>0</v>
      </c>
      <c r="AJ12" s="413">
        <f t="shared" si="12"/>
        <v>0</v>
      </c>
      <c r="AK12" s="310" t="str">
        <f t="shared" si="13"/>
        <v/>
      </c>
      <c r="AL12" s="7"/>
      <c r="AM12" s="453"/>
      <c r="AN12" s="310" t="str">
        <f>IF($AM12="","", IF($AM12="세입없음", "OK",  IF(COUNTIF('3. 일입'!$AN$8:$AN$1831,$AM12), "OK","@@")))</f>
        <v/>
      </c>
      <c r="AO12" s="296" t="str">
        <f t="shared" si="14"/>
        <v/>
      </c>
      <c r="AP12" s="310" t="str">
        <f t="shared" si="15"/>
        <v/>
      </c>
      <c r="AQ12" s="78"/>
      <c r="AR12" s="310" t="str">
        <f t="array" ref="AR12">IF(OR($D12="", $C12="직접입력", $B12="직접입력"), "", INDEX(구분표!$I$3:$I$321, MATCH(1,(구분표!$G$3:$G$321=$B12)*(구분표!$E$3:$E$321=$C12)*(구분표!$F$3:$F$321=$D12),0)))</f>
        <v/>
      </c>
      <c r="AS12" s="20"/>
    </row>
    <row r="13" spans="1:45" s="19" customFormat="1" ht="80.099999999999994" customHeight="1">
      <c r="A13" s="115" t="str">
        <f>IF(D13="","",COUNTA($C$7:C13)-COUNTBLANK($C$7:C13)+11)</f>
        <v/>
      </c>
      <c r="B13" s="116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16" t="str">
        <f>IF(D13="","",IF(OR(D13="교육지원과",D13="총무과",D13="인사과"),"직접입력",VLOOKUP(D13,구분표!$A$3:$C$258,3,)))</f>
        <v/>
      </c>
      <c r="D13" s="167"/>
      <c r="E13" s="161"/>
      <c r="F13" s="323" t="str">
        <f t="shared" si="28"/>
        <v/>
      </c>
      <c r="G13" s="323" t="str">
        <f t="shared" si="28"/>
        <v/>
      </c>
      <c r="H13" s="161"/>
      <c r="I13" s="116" t="str">
        <f>IF(H13="","",VLOOKUP($H13,구분표!$K$3:$M$151,2,FALSE))</f>
        <v/>
      </c>
      <c r="J13" s="116" t="str">
        <f>IF(I13="","",VLOOKUP($H13,구분표!$K$3:$M$151,3,FALSE))</f>
        <v/>
      </c>
      <c r="K13" s="180"/>
      <c r="L13" s="180"/>
      <c r="M13" s="385" t="str">
        <f t="shared" si="29"/>
        <v/>
      </c>
      <c r="N13" s="385" t="str">
        <f t="shared" si="30"/>
        <v/>
      </c>
      <c r="O13" s="387" t="str">
        <f t="shared" si="22"/>
        <v/>
      </c>
      <c r="P13" s="386"/>
      <c r="Q13" s="387">
        <f t="shared" si="23"/>
        <v>0</v>
      </c>
      <c r="R13" s="388"/>
      <c r="S13" s="389">
        <f t="shared" si="24"/>
        <v>0</v>
      </c>
      <c r="T13" s="118" t="str">
        <f t="shared" si="25"/>
        <v>X</v>
      </c>
      <c r="U13" s="168"/>
      <c r="V13" s="274"/>
      <c r="W13" s="169"/>
      <c r="X13" s="170"/>
      <c r="Y13" s="168"/>
      <c r="Z13" s="170"/>
      <c r="AA13" s="168"/>
      <c r="AC13" s="413">
        <f t="shared" si="26"/>
        <v>0</v>
      </c>
      <c r="AD13" s="413">
        <f t="shared" si="7"/>
        <v>0</v>
      </c>
      <c r="AE13" s="413">
        <f t="shared" si="8"/>
        <v>0</v>
      </c>
      <c r="AF13" s="310" t="str">
        <f t="shared" si="27"/>
        <v/>
      </c>
      <c r="AG13" s="120"/>
      <c r="AH13" s="413">
        <f t="shared" si="10"/>
        <v>0</v>
      </c>
      <c r="AI13" s="413">
        <f t="shared" si="11"/>
        <v>0</v>
      </c>
      <c r="AJ13" s="413">
        <f t="shared" si="12"/>
        <v>0</v>
      </c>
      <c r="AK13" s="310" t="str">
        <f t="shared" si="13"/>
        <v/>
      </c>
      <c r="AL13" s="7"/>
      <c r="AM13" s="453"/>
      <c r="AN13" s="310" t="str">
        <f>IF($AM13="","", IF($AM13="세입없음", "OK",  IF(COUNTIF('3. 일입'!$AN$8:$AN$1831,$AM13), "OK","@@")))</f>
        <v/>
      </c>
      <c r="AO13" s="296" t="str">
        <f t="shared" si="14"/>
        <v/>
      </c>
      <c r="AP13" s="310" t="str">
        <f t="shared" si="15"/>
        <v/>
      </c>
      <c r="AQ13" s="78"/>
      <c r="AR13" s="310" t="str">
        <f t="array" ref="AR13">IF(OR($D13="", $C13="직접입력", $B13="직접입력"), "", INDEX(구분표!$I$3:$I$321, MATCH(1,(구분표!$G$3:$G$321=$B13)*(구분표!$E$3:$E$321=$C13)*(구분표!$F$3:$F$321=$D13),0)))</f>
        <v/>
      </c>
      <c r="AS13" s="20"/>
    </row>
    <row r="14" spans="1:45" s="19" customFormat="1" ht="80.099999999999994" customHeight="1">
      <c r="A14" s="115" t="str">
        <f>IF(D14="","",COUNTA($C$7:C14)-COUNTBLANK($C$7:C14)+11)</f>
        <v/>
      </c>
      <c r="B14" s="116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16" t="str">
        <f>IF(D14="","",IF(OR(D14="교육지원과",D14="총무과",D14="인사과"),"직접입력",VLOOKUP(D14,구분표!$A$3:$C$258,3,)))</f>
        <v/>
      </c>
      <c r="D14" s="167"/>
      <c r="E14" s="161"/>
      <c r="F14" s="323" t="str">
        <f t="shared" si="28"/>
        <v/>
      </c>
      <c r="G14" s="323" t="str">
        <f t="shared" si="28"/>
        <v/>
      </c>
      <c r="H14" s="161"/>
      <c r="I14" s="116" t="str">
        <f>IF(H14="","",VLOOKUP($H14,구분표!$K$3:$M$151,2,FALSE))</f>
        <v/>
      </c>
      <c r="J14" s="116" t="str">
        <f>IF(I14="","",VLOOKUP($H14,구분표!$K$3:$M$151,3,FALSE))</f>
        <v/>
      </c>
      <c r="K14" s="180"/>
      <c r="L14" s="180"/>
      <c r="M14" s="385" t="str">
        <f t="shared" si="29"/>
        <v/>
      </c>
      <c r="N14" s="385" t="str">
        <f t="shared" si="30"/>
        <v/>
      </c>
      <c r="O14" s="387" t="str">
        <f t="shared" ref="O14:O17" si="31">IF($E14="","",SUM(M14:N14))</f>
        <v/>
      </c>
      <c r="P14" s="386"/>
      <c r="Q14" s="387">
        <f t="shared" ref="Q14:Q17" si="32">SUM(O14:P14)</f>
        <v>0</v>
      </c>
      <c r="R14" s="388"/>
      <c r="S14" s="389">
        <f t="shared" ref="S14:S17" si="33">SUM(O14,R14)</f>
        <v>0</v>
      </c>
      <c r="T14" s="118" t="str">
        <f t="shared" ref="T14:T17" si="34">IF(AND((Q14=0),(S14&gt;0)),"O",IF(AND((P14&lt;0),(Q14-S14&lt;0)),"O","X"))</f>
        <v>X</v>
      </c>
      <c r="U14" s="168"/>
      <c r="V14" s="274"/>
      <c r="W14" s="169"/>
      <c r="X14" s="170"/>
      <c r="Y14" s="168"/>
      <c r="Z14" s="170"/>
      <c r="AA14" s="168"/>
      <c r="AC14" s="413">
        <f t="shared" ref="AC14:AC17" si="35">IF($P14="", 0, IF(AND(ISNUMBER(AD14), ISNUMBER(AE14)), $P14-$AD14-$AE14, 0))</f>
        <v>0</v>
      </c>
      <c r="AD14" s="413">
        <f t="shared" si="7"/>
        <v>0</v>
      </c>
      <c r="AE14" s="413">
        <f t="shared" si="8"/>
        <v>0</v>
      </c>
      <c r="AF14" s="310" t="str">
        <f t="shared" ref="AF14:AF17" si="36">IF($P14="", IF(SUM($AC14:$AE14)=0, "", "@@"), IF(AND($P14=SUM($AC14:$AE14),Q14&gt;=0),"OK","@@"))</f>
        <v/>
      </c>
      <c r="AG14" s="120"/>
      <c r="AH14" s="413">
        <f t="shared" si="10"/>
        <v>0</v>
      </c>
      <c r="AI14" s="413">
        <f t="shared" si="11"/>
        <v>0</v>
      </c>
      <c r="AJ14" s="413">
        <f t="shared" si="12"/>
        <v>0</v>
      </c>
      <c r="AK14" s="310" t="str">
        <f t="shared" si="13"/>
        <v/>
      </c>
      <c r="AL14" s="7"/>
      <c r="AM14" s="453"/>
      <c r="AN14" s="310" t="str">
        <f>IF($AM14="","", IF($AM14="세입없음", "OK",  IF(COUNTIF('3. 일입'!$AN$8:$AN$1831,$AM14), "OK","@@")))</f>
        <v/>
      </c>
      <c r="AO14" s="296" t="str">
        <f t="shared" si="14"/>
        <v/>
      </c>
      <c r="AP14" s="310" t="str">
        <f t="shared" si="15"/>
        <v/>
      </c>
      <c r="AQ14" s="78"/>
      <c r="AR14" s="310" t="str">
        <f t="array" ref="AR14">IF(OR($D14="", $C14="직접입력", $B14="직접입력"), "", INDEX(구분표!$I$3:$I$321, MATCH(1,(구분표!$G$3:$G$321=$B14)*(구분표!$E$3:$E$321=$C14)*(구분표!$F$3:$F$321=$D14),0)))</f>
        <v/>
      </c>
      <c r="AS14" s="20"/>
    </row>
    <row r="15" spans="1:45" s="19" customFormat="1" ht="80.099999999999994" customHeight="1">
      <c r="A15" s="115" t="str">
        <f>IF(D15="","",COUNTA($C$7:C15)-COUNTBLANK($C$7:C15)+11)</f>
        <v/>
      </c>
      <c r="B15" s="116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16" t="str">
        <f>IF(D15="","",IF(OR(D15="교육지원과",D15="총무과",D15="인사과"),"직접입력",VLOOKUP(D15,구분표!$A$3:$C$258,3,)))</f>
        <v/>
      </c>
      <c r="D15" s="167"/>
      <c r="E15" s="161"/>
      <c r="F15" s="323" t="str">
        <f t="shared" si="28"/>
        <v/>
      </c>
      <c r="G15" s="323" t="str">
        <f t="shared" si="28"/>
        <v/>
      </c>
      <c r="H15" s="161"/>
      <c r="I15" s="116" t="str">
        <f>IF(H15="","",VLOOKUP($H15,구분표!$K$3:$M$151,2,FALSE))</f>
        <v/>
      </c>
      <c r="J15" s="116" t="str">
        <f>IF(I15="","",VLOOKUP($H15,구분표!$K$3:$M$151,3,FALSE))</f>
        <v/>
      </c>
      <c r="K15" s="180"/>
      <c r="L15" s="180"/>
      <c r="M15" s="385" t="str">
        <f t="shared" si="29"/>
        <v/>
      </c>
      <c r="N15" s="385" t="str">
        <f t="shared" si="30"/>
        <v/>
      </c>
      <c r="O15" s="387" t="str">
        <f t="shared" si="31"/>
        <v/>
      </c>
      <c r="P15" s="386"/>
      <c r="Q15" s="387">
        <f t="shared" si="32"/>
        <v>0</v>
      </c>
      <c r="R15" s="388"/>
      <c r="S15" s="389">
        <f t="shared" si="33"/>
        <v>0</v>
      </c>
      <c r="T15" s="118" t="str">
        <f t="shared" si="34"/>
        <v>X</v>
      </c>
      <c r="U15" s="168"/>
      <c r="V15" s="274"/>
      <c r="W15" s="169"/>
      <c r="X15" s="170"/>
      <c r="Y15" s="168"/>
      <c r="Z15" s="170"/>
      <c r="AA15" s="168"/>
      <c r="AC15" s="413">
        <f t="shared" si="35"/>
        <v>0</v>
      </c>
      <c r="AD15" s="413">
        <f t="shared" si="7"/>
        <v>0</v>
      </c>
      <c r="AE15" s="413">
        <f t="shared" si="8"/>
        <v>0</v>
      </c>
      <c r="AF15" s="310" t="str">
        <f t="shared" si="36"/>
        <v/>
      </c>
      <c r="AG15" s="120"/>
      <c r="AH15" s="413">
        <f t="shared" si="10"/>
        <v>0</v>
      </c>
      <c r="AI15" s="413">
        <f t="shared" si="11"/>
        <v>0</v>
      </c>
      <c r="AJ15" s="413">
        <f t="shared" si="12"/>
        <v>0</v>
      </c>
      <c r="AK15" s="310" t="str">
        <f t="shared" si="13"/>
        <v/>
      </c>
      <c r="AL15" s="7"/>
      <c r="AM15" s="453"/>
      <c r="AN15" s="310" t="str">
        <f>IF($AM15="","", IF($AM15="세입없음", "OK",  IF(COUNTIF('3. 일입'!$AN$8:$AN$1831,$AM15), "OK","@@")))</f>
        <v/>
      </c>
      <c r="AO15" s="296" t="str">
        <f t="shared" si="14"/>
        <v/>
      </c>
      <c r="AP15" s="310" t="str">
        <f t="shared" si="15"/>
        <v/>
      </c>
      <c r="AQ15" s="78"/>
      <c r="AR15" s="310" t="str">
        <f t="array" ref="AR15">IF(OR($D15="", $C15="직접입력", $B15="직접입력"), "", INDEX(구분표!$I$3:$I$321, MATCH(1,(구분표!$G$3:$G$321=$B15)*(구분표!$E$3:$E$321=$C15)*(구분표!$F$3:$F$321=$D15),0)))</f>
        <v/>
      </c>
      <c r="AS15" s="20"/>
    </row>
    <row r="16" spans="1:45" s="19" customFormat="1" ht="80.099999999999994" customHeight="1">
      <c r="A16" s="115" t="str">
        <f>IF(D16="","",COUNTA($C$7:C16)-COUNTBLANK($C$7:C16)+11)</f>
        <v/>
      </c>
      <c r="B16" s="116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16" t="str">
        <f>IF(D16="","",IF(OR(D16="교육지원과",D16="총무과",D16="인사과"),"직접입력",VLOOKUP(D16,구분표!$A$3:$C$258,3,)))</f>
        <v/>
      </c>
      <c r="D16" s="167"/>
      <c r="E16" s="161"/>
      <c r="F16" s="323" t="str">
        <f t="shared" si="28"/>
        <v/>
      </c>
      <c r="G16" s="323" t="str">
        <f t="shared" si="28"/>
        <v/>
      </c>
      <c r="H16" s="161"/>
      <c r="I16" s="116" t="str">
        <f>IF(H16="","",VLOOKUP($H16,구분표!$K$3:$M$151,2,FALSE))</f>
        <v/>
      </c>
      <c r="J16" s="116" t="str">
        <f>IF(I16="","",VLOOKUP($H16,구분표!$K$3:$M$151,3,FALSE))</f>
        <v/>
      </c>
      <c r="K16" s="180"/>
      <c r="L16" s="180"/>
      <c r="M16" s="385" t="str">
        <f t="shared" si="29"/>
        <v/>
      </c>
      <c r="N16" s="385" t="str">
        <f t="shared" si="30"/>
        <v/>
      </c>
      <c r="O16" s="387" t="str">
        <f t="shared" ref="O16" si="37">IF($E16="","",SUM(M16:N16))</f>
        <v/>
      </c>
      <c r="P16" s="386"/>
      <c r="Q16" s="387">
        <f t="shared" ref="Q16" si="38">SUM(O16:P16)</f>
        <v>0</v>
      </c>
      <c r="R16" s="388"/>
      <c r="S16" s="389">
        <f t="shared" ref="S16" si="39">SUM(O16,R16)</f>
        <v>0</v>
      </c>
      <c r="T16" s="118" t="str">
        <f t="shared" ref="T16" si="40">IF(AND((Q16=0),(S16&gt;0)),"O",IF(AND((P16&lt;0),(Q16-S16&lt;0)),"O","X"))</f>
        <v>X</v>
      </c>
      <c r="U16" s="168"/>
      <c r="V16" s="274"/>
      <c r="W16" s="169"/>
      <c r="X16" s="170"/>
      <c r="Y16" s="168"/>
      <c r="Z16" s="170"/>
      <c r="AA16" s="168"/>
      <c r="AC16" s="413">
        <f t="shared" ref="AC16" si="41">IF($P16="", 0, IF(AND(ISNUMBER(AD16), ISNUMBER(AE16)), $P16-$AD16-$AE16, 0))</f>
        <v>0</v>
      </c>
      <c r="AD16" s="413">
        <f t="shared" si="7"/>
        <v>0</v>
      </c>
      <c r="AE16" s="413">
        <f t="shared" si="8"/>
        <v>0</v>
      </c>
      <c r="AF16" s="310" t="str">
        <f t="shared" ref="AF16" si="42">IF($P16="", IF(SUM($AC16:$AE16)=0, "", "@@"), IF(AND($P16=SUM($AC16:$AE16),Q16&gt;=0),"OK","@@"))</f>
        <v/>
      </c>
      <c r="AG16" s="120"/>
      <c r="AH16" s="413">
        <f t="shared" si="10"/>
        <v>0</v>
      </c>
      <c r="AI16" s="413">
        <f t="shared" si="11"/>
        <v>0</v>
      </c>
      <c r="AJ16" s="413">
        <f t="shared" si="12"/>
        <v>0</v>
      </c>
      <c r="AK16" s="310" t="str">
        <f t="shared" si="13"/>
        <v/>
      </c>
      <c r="AL16" s="7"/>
      <c r="AM16" s="453"/>
      <c r="AN16" s="310" t="str">
        <f>IF($AM16="","", IF($AM16="세입없음", "OK",  IF(COUNTIF('3. 일입'!$AN$8:$AN$1831,$AM16), "OK","@@")))</f>
        <v/>
      </c>
      <c r="AO16" s="296" t="str">
        <f t="shared" si="14"/>
        <v/>
      </c>
      <c r="AP16" s="310" t="str">
        <f t="shared" si="15"/>
        <v/>
      </c>
      <c r="AQ16" s="78"/>
      <c r="AR16" s="310" t="str">
        <f t="array" ref="AR16">IF(OR($D16="", $C16="직접입력", $B16="직접입력"), "", INDEX(구분표!$I$3:$I$321, MATCH(1,(구분표!$G$3:$G$321=$B16)*(구분표!$E$3:$E$321=$C16)*(구분표!$F$3:$F$321=$D16),0)))</f>
        <v/>
      </c>
      <c r="AS16" s="20"/>
    </row>
    <row r="17" spans="1:45" s="19" customFormat="1" ht="80.099999999999994" customHeight="1">
      <c r="A17" s="115" t="str">
        <f>IF(D17="","",COUNTA($C$7:C17)-COUNTBLANK($C$7:C17)+11)</f>
        <v/>
      </c>
      <c r="B17" s="116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16" t="str">
        <f>IF(D17="","",IF(OR(D17="교육지원과",D17="총무과",D17="인사과"),"직접입력",VLOOKUP(D17,구분표!$A$3:$C$258,3,)))</f>
        <v/>
      </c>
      <c r="D17" s="167"/>
      <c r="E17" s="161"/>
      <c r="F17" s="323" t="str">
        <f t="shared" si="28"/>
        <v/>
      </c>
      <c r="G17" s="323" t="str">
        <f t="shared" si="28"/>
        <v/>
      </c>
      <c r="H17" s="161"/>
      <c r="I17" s="116" t="str">
        <f>IF(H17="","",VLOOKUP($H17,구분표!$K$3:$M$151,2,FALSE))</f>
        <v/>
      </c>
      <c r="J17" s="116" t="str">
        <f>IF(I17="","",VLOOKUP($H17,구분표!$K$3:$M$151,3,FALSE))</f>
        <v/>
      </c>
      <c r="K17" s="180"/>
      <c r="L17" s="180"/>
      <c r="M17" s="385" t="str">
        <f t="shared" si="29"/>
        <v/>
      </c>
      <c r="N17" s="385" t="str">
        <f t="shared" si="30"/>
        <v/>
      </c>
      <c r="O17" s="387" t="str">
        <f t="shared" si="31"/>
        <v/>
      </c>
      <c r="P17" s="386"/>
      <c r="Q17" s="387">
        <f t="shared" si="32"/>
        <v>0</v>
      </c>
      <c r="R17" s="388"/>
      <c r="S17" s="389">
        <f t="shared" si="33"/>
        <v>0</v>
      </c>
      <c r="T17" s="118" t="str">
        <f t="shared" si="34"/>
        <v>X</v>
      </c>
      <c r="U17" s="168"/>
      <c r="V17" s="274"/>
      <c r="W17" s="169"/>
      <c r="X17" s="170"/>
      <c r="Y17" s="168"/>
      <c r="Z17" s="170"/>
      <c r="AA17" s="168"/>
      <c r="AC17" s="413">
        <f t="shared" si="35"/>
        <v>0</v>
      </c>
      <c r="AD17" s="413">
        <f t="shared" si="7"/>
        <v>0</v>
      </c>
      <c r="AE17" s="413">
        <f t="shared" si="8"/>
        <v>0</v>
      </c>
      <c r="AF17" s="310" t="str">
        <f t="shared" si="36"/>
        <v/>
      </c>
      <c r="AG17" s="120"/>
      <c r="AH17" s="413">
        <f t="shared" si="10"/>
        <v>0</v>
      </c>
      <c r="AI17" s="413">
        <f t="shared" si="11"/>
        <v>0</v>
      </c>
      <c r="AJ17" s="413">
        <f t="shared" si="12"/>
        <v>0</v>
      </c>
      <c r="AK17" s="310" t="str">
        <f t="shared" si="13"/>
        <v/>
      </c>
      <c r="AL17" s="7"/>
      <c r="AM17" s="453"/>
      <c r="AN17" s="310" t="str">
        <f>IF($AM17="","", IF($AM17="세입없음", "OK",  IF(COUNTIF('3. 일입'!$AN$8:$AN$1831,$AM17), "OK","@@")))</f>
        <v/>
      </c>
      <c r="AO17" s="296" t="str">
        <f t="shared" si="14"/>
        <v/>
      </c>
      <c r="AP17" s="310" t="str">
        <f t="shared" si="15"/>
        <v/>
      </c>
      <c r="AQ17" s="78"/>
      <c r="AR17" s="310" t="str">
        <f t="array" ref="AR17">IF(OR($D17="", $C17="직접입력", $B17="직접입력"), "", INDEX(구분표!$I$3:$I$321, MATCH(1,(구분표!$G$3:$G$321=$B17)*(구분표!$E$3:$E$321=$C17)*(구분표!$F$3:$F$321=$D17),0)))</f>
        <v/>
      </c>
      <c r="AS17" s="20"/>
    </row>
    <row r="18" spans="1:45" s="19" customFormat="1" ht="80.099999999999994" customHeight="1">
      <c r="A18" s="115" t="str">
        <f>IF(D18="","",COUNTA($C$7:C18)-COUNTBLANK($C$7:C18)+11)</f>
        <v/>
      </c>
      <c r="B18" s="116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16" t="str">
        <f>IF(D18="","",IF(OR(D18="교육지원과",D18="총무과",D18="인사과"),"직접입력",VLOOKUP(D18,구분표!$A$3:$C$258,3,)))</f>
        <v/>
      </c>
      <c r="D18" s="167"/>
      <c r="E18" s="161"/>
      <c r="F18" s="323" t="str">
        <f t="shared" si="28"/>
        <v/>
      </c>
      <c r="G18" s="323" t="str">
        <f t="shared" si="28"/>
        <v/>
      </c>
      <c r="H18" s="161"/>
      <c r="I18" s="116" t="str">
        <f>IF(H18="","",VLOOKUP($H18,구분표!$K$3:$M$151,2,FALSE))</f>
        <v/>
      </c>
      <c r="J18" s="116" t="str">
        <f>IF(I18="","",VLOOKUP($H18,구분표!$K$3:$M$151,3,FALSE))</f>
        <v/>
      </c>
      <c r="K18" s="180"/>
      <c r="L18" s="180"/>
      <c r="M18" s="385" t="str">
        <f t="shared" si="29"/>
        <v/>
      </c>
      <c r="N18" s="385" t="str">
        <f t="shared" si="30"/>
        <v/>
      </c>
      <c r="O18" s="387" t="str">
        <f t="shared" si="2"/>
        <v/>
      </c>
      <c r="P18" s="386"/>
      <c r="Q18" s="387">
        <f t="shared" si="3"/>
        <v>0</v>
      </c>
      <c r="R18" s="388"/>
      <c r="S18" s="389">
        <f t="shared" si="4"/>
        <v>0</v>
      </c>
      <c r="T18" s="118" t="str">
        <f t="shared" si="5"/>
        <v>X</v>
      </c>
      <c r="U18" s="168"/>
      <c r="V18" s="274"/>
      <c r="W18" s="169"/>
      <c r="X18" s="170"/>
      <c r="Y18" s="168"/>
      <c r="Z18" s="170"/>
      <c r="AA18" s="168"/>
      <c r="AC18" s="413">
        <f t="shared" si="6"/>
        <v>0</v>
      </c>
      <c r="AD18" s="413">
        <f t="shared" si="7"/>
        <v>0</v>
      </c>
      <c r="AE18" s="413">
        <f t="shared" si="8"/>
        <v>0</v>
      </c>
      <c r="AF18" s="310" t="str">
        <f t="shared" si="9"/>
        <v/>
      </c>
      <c r="AG18" s="120"/>
      <c r="AH18" s="413">
        <f t="shared" si="10"/>
        <v>0</v>
      </c>
      <c r="AI18" s="413">
        <f t="shared" si="11"/>
        <v>0</v>
      </c>
      <c r="AJ18" s="413">
        <f t="shared" si="12"/>
        <v>0</v>
      </c>
      <c r="AK18" s="310" t="str">
        <f t="shared" si="13"/>
        <v/>
      </c>
      <c r="AL18" s="7"/>
      <c r="AM18" s="453"/>
      <c r="AN18" s="310" t="str">
        <f>IF($AM18="","", IF($AM18="세입없음", "OK",  IF(COUNTIF('3. 일입'!$AN$8:$AN$1831,$AM18), "OK","@@")))</f>
        <v/>
      </c>
      <c r="AO18" s="296" t="str">
        <f t="shared" si="14"/>
        <v/>
      </c>
      <c r="AP18" s="310" t="str">
        <f t="shared" si="15"/>
        <v/>
      </c>
      <c r="AQ18" s="78"/>
      <c r="AR18" s="310" t="str">
        <f t="array" ref="AR18">IF(OR($D18="", $C18="직접입력", $B18="직접입력"), "", INDEX(구분표!$I$3:$I$321, MATCH(1,(구분표!$G$3:$G$321=$B18)*(구분표!$E$3:$E$321=$C18)*(구분표!$F$3:$F$321=$D18),0)))</f>
        <v/>
      </c>
      <c r="AS18" s="20"/>
    </row>
    <row r="19" spans="1:45" s="117" customFormat="1" ht="80.099999999999994" customHeight="1">
      <c r="A19" s="115" t="str">
        <f>IF(D19="","",COUNTA($C$7:C19)-COUNTBLANK($C$7:C19)+11)</f>
        <v/>
      </c>
      <c r="B19" s="116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16" t="str">
        <f>IF(D19="","",IF(OR(D19="교육지원과",D19="총무과",D19="인사과"),"직접입력",VLOOKUP(D19,구분표!$A$3:$C$258,3,)))</f>
        <v/>
      </c>
      <c r="D19" s="167"/>
      <c r="E19" s="161"/>
      <c r="F19" s="323" t="str">
        <f t="shared" si="28"/>
        <v/>
      </c>
      <c r="G19" s="323" t="str">
        <f t="shared" si="28"/>
        <v/>
      </c>
      <c r="H19" s="161"/>
      <c r="I19" s="116" t="str">
        <f>IF(H19="","",VLOOKUP($H19,구분표!$K$3:$M$151,2,FALSE))</f>
        <v/>
      </c>
      <c r="J19" s="116" t="str">
        <f>IF(I19="","",VLOOKUP($H19,구분표!$K$3:$M$151,3,FALSE))</f>
        <v/>
      </c>
      <c r="K19" s="180"/>
      <c r="L19" s="180"/>
      <c r="M19" s="385" t="str">
        <f t="shared" si="29"/>
        <v/>
      </c>
      <c r="N19" s="385" t="str">
        <f t="shared" si="30"/>
        <v/>
      </c>
      <c r="O19" s="387" t="str">
        <f t="shared" si="2"/>
        <v/>
      </c>
      <c r="P19" s="386"/>
      <c r="Q19" s="387">
        <f t="shared" si="3"/>
        <v>0</v>
      </c>
      <c r="R19" s="388"/>
      <c r="S19" s="389">
        <f t="shared" si="4"/>
        <v>0</v>
      </c>
      <c r="T19" s="118" t="str">
        <f t="shared" si="5"/>
        <v>X</v>
      </c>
      <c r="U19" s="168"/>
      <c r="V19" s="274"/>
      <c r="W19" s="169"/>
      <c r="X19" s="170"/>
      <c r="Y19" s="168"/>
      <c r="Z19" s="170"/>
      <c r="AA19" s="168"/>
      <c r="AB19" s="19"/>
      <c r="AC19" s="413">
        <f t="shared" si="6"/>
        <v>0</v>
      </c>
      <c r="AD19" s="413">
        <f t="shared" si="7"/>
        <v>0</v>
      </c>
      <c r="AE19" s="413">
        <f t="shared" si="8"/>
        <v>0</v>
      </c>
      <c r="AF19" s="310" t="str">
        <f t="shared" si="9"/>
        <v/>
      </c>
      <c r="AG19" s="120"/>
      <c r="AH19" s="413">
        <f t="shared" si="10"/>
        <v>0</v>
      </c>
      <c r="AI19" s="413">
        <f t="shared" si="11"/>
        <v>0</v>
      </c>
      <c r="AJ19" s="413">
        <f t="shared" si="12"/>
        <v>0</v>
      </c>
      <c r="AK19" s="310" t="str">
        <f t="shared" si="13"/>
        <v/>
      </c>
      <c r="AL19" s="7"/>
      <c r="AM19" s="453"/>
      <c r="AN19" s="310" t="str">
        <f>IF($AM19="","", IF($AM19="세입없음", "OK",  IF(COUNTIF('3. 일입'!$AN$8:$AN$1831,$AM19), "OK","@@")))</f>
        <v/>
      </c>
      <c r="AO19" s="296" t="str">
        <f t="shared" si="14"/>
        <v/>
      </c>
      <c r="AP19" s="310" t="str">
        <f t="shared" si="15"/>
        <v/>
      </c>
      <c r="AQ19" s="78"/>
      <c r="AR19" s="310" t="str">
        <f t="array" ref="AR19">IF(OR($D19="", $C19="직접입력", $B19="직접입력"), "", INDEX(구분표!$I$3:$I$321, MATCH(1,(구분표!$G$3:$G$321=$B19)*(구분표!$E$3:$E$321=$C19)*(구분표!$F$3:$F$321=$D19),0)))</f>
        <v/>
      </c>
      <c r="AS19" s="20"/>
    </row>
    <row r="20" spans="1:45" ht="60" customHeight="1"/>
  </sheetData>
  <sheetProtection formatCells="0" autoFilter="0"/>
  <autoFilter ref="A6:AS19" xr:uid="{8567F514-6F69-4026-A162-E8831BFD71BB}"/>
  <mergeCells count="46">
    <mergeCell ref="AM1:AP1"/>
    <mergeCell ref="AR3:AR5"/>
    <mergeCell ref="AM3:AP3"/>
    <mergeCell ref="AM4:AM5"/>
    <mergeCell ref="AO4:AO5"/>
    <mergeCell ref="AP4:AP5"/>
    <mergeCell ref="AN4:AN5"/>
    <mergeCell ref="AC1:AF1"/>
    <mergeCell ref="AC3:AF3"/>
    <mergeCell ref="AH1:AK1"/>
    <mergeCell ref="AH3:AK3"/>
    <mergeCell ref="AF4:AF5"/>
    <mergeCell ref="AC4:AE4"/>
    <mergeCell ref="AK4:AK5"/>
    <mergeCell ref="AH4:AJ4"/>
    <mergeCell ref="B7:G7"/>
    <mergeCell ref="L3:L5"/>
    <mergeCell ref="Y2:AA2"/>
    <mergeCell ref="AA3:AA5"/>
    <mergeCell ref="W3:W5"/>
    <mergeCell ref="P3:P5"/>
    <mergeCell ref="R3:R5"/>
    <mergeCell ref="G3:G5"/>
    <mergeCell ref="O3:O5"/>
    <mergeCell ref="I3:I5"/>
    <mergeCell ref="J3:J5"/>
    <mergeCell ref="H3:H5"/>
    <mergeCell ref="K3:K5"/>
    <mergeCell ref="M3:M5"/>
    <mergeCell ref="N3:N5"/>
    <mergeCell ref="A1:AA1"/>
    <mergeCell ref="B2:L2"/>
    <mergeCell ref="A3:A5"/>
    <mergeCell ref="B3:B5"/>
    <mergeCell ref="C3:C5"/>
    <mergeCell ref="D3:D5"/>
    <mergeCell ref="E3:E5"/>
    <mergeCell ref="F3:F5"/>
    <mergeCell ref="Q3:Q5"/>
    <mergeCell ref="U3:U5"/>
    <mergeCell ref="V3:V5"/>
    <mergeCell ref="S3:S5"/>
    <mergeCell ref="T3:T5"/>
    <mergeCell ref="Z3:Z5"/>
    <mergeCell ref="X3:X5"/>
    <mergeCell ref="Y3:Y5"/>
  </mergeCells>
  <phoneticPr fontId="1" type="noConversion"/>
  <conditionalFormatting sqref="F1:G2 F20:G1048576 F6:G7 F17:G17 F14:G14 F9:G10">
    <cfRule type="containsText" dxfId="360" priority="3479" operator="containsText" text="직접입력">
      <formula>NOT(ISERROR(SEARCH("직접입력",F1)))</formula>
    </cfRule>
  </conditionalFormatting>
  <conditionalFormatting sqref="O1:O2 O20:O1048576 M6:O6">
    <cfRule type="containsText" dxfId="359" priority="3478" operator="containsText" text="금액입력">
      <formula>NOT(ISERROR(SEARCH("금액입력",M1)))</formula>
    </cfRule>
  </conditionalFormatting>
  <conditionalFormatting sqref="K1:K6 K9:K10 K17:K1048576 K14">
    <cfRule type="containsText" dxfId="358" priority="3477" operator="containsText" text="세부사업명 입력">
      <formula>NOT(ISERROR(SEARCH("세부사업명 입력",K1)))</formula>
    </cfRule>
  </conditionalFormatting>
  <conditionalFormatting sqref="L1:N2 L20:N1048576 L3:L6 L9:M10 L17:M19 L14:M14">
    <cfRule type="containsText" dxfId="357" priority="3476" operator="containsText" text="부기명 입력">
      <formula>NOT(ISERROR(SEARCH("부기명 입력",L1)))</formula>
    </cfRule>
  </conditionalFormatting>
  <conditionalFormatting sqref="AD20:AD1826 AD17 AD14 AD8:AD10">
    <cfRule type="expression" dxfId="356" priority="3471">
      <formula>FIND("(지방채)",$L8)&gt;0</formula>
    </cfRule>
  </conditionalFormatting>
  <conditionalFormatting sqref="AE20:AE1826 AE17 AE14 AE8:AE10">
    <cfRule type="expression" dxfId="355" priority="3470">
      <formula>FIND("(지역개발기금)",$L8)&gt;0</formula>
    </cfRule>
  </conditionalFormatting>
  <conditionalFormatting sqref="AI20:AI1826 AI17 AI14 AI8:AI10">
    <cfRule type="expression" dxfId="354" priority="3469">
      <formula>FIND("(지방채)",$L8)&gt;0</formula>
    </cfRule>
  </conditionalFormatting>
  <conditionalFormatting sqref="AJ20:AJ1826 AJ17 AJ14 AJ8:AJ10">
    <cfRule type="expression" dxfId="353" priority="3468">
      <formula>FIND("(지역개발기금)",$L8)&gt;0</formula>
    </cfRule>
  </conditionalFormatting>
  <conditionalFormatting sqref="AM17:AM1826 AM14 AM8:AM10">
    <cfRule type="expression" dxfId="352" priority="3466">
      <formula>FIND("(지역개발기금)",$L8)&gt;0</formula>
    </cfRule>
  </conditionalFormatting>
  <conditionalFormatting sqref="AC20:AC1048576 AH20:AH1048576 AC1:AC6 AH1:AH6 AC8:AC10 AH8:AH10 AH17 AC17 AH14 AC14">
    <cfRule type="containsText" dxfId="351" priority="3465" operator="containsText" text="입력필요">
      <formula>NOT(ISERROR(SEARCH("입력필요",AC1)))</formula>
    </cfRule>
  </conditionalFormatting>
  <conditionalFormatting sqref="M9:O10 M17:O19 M14:O14 O8">
    <cfRule type="containsText" dxfId="350" priority="2837" operator="containsText" text="금액입력">
      <formula>NOT(ISERROR(SEARCH("금액입력",M8)))</formula>
    </cfRule>
  </conditionalFormatting>
  <conditionalFormatting sqref="K7">
    <cfRule type="containsText" dxfId="349" priority="2567" operator="containsText" text="세부사업명 입력">
      <formula>NOT(ISERROR(SEARCH("세부사업명 입력",K7)))</formula>
    </cfRule>
  </conditionalFormatting>
  <conditionalFormatting sqref="L7">
    <cfRule type="containsText" dxfId="348" priority="2566" operator="containsText" text="부기명 입력">
      <formula>NOT(ISERROR(SEARCH("부기명 입력",L7)))</formula>
    </cfRule>
  </conditionalFormatting>
  <conditionalFormatting sqref="O7:S7">
    <cfRule type="containsText" dxfId="347" priority="2545" operator="containsText" text="금액입력">
      <formula>NOT(ISERROR(SEARCH("금액입력",O7)))</formula>
    </cfRule>
  </conditionalFormatting>
  <conditionalFormatting sqref="F3:G5">
    <cfRule type="containsText" dxfId="346" priority="2492" operator="containsText" text="직접입력">
      <formula>NOT(ISERROR(SEARCH("직접입력",F3)))</formula>
    </cfRule>
  </conditionalFormatting>
  <conditionalFormatting sqref="O3:O5">
    <cfRule type="containsText" dxfId="345" priority="2488" operator="containsText" text="금액입력">
      <formula>NOT(ISERROR(SEARCH("금액입력",O3)))</formula>
    </cfRule>
  </conditionalFormatting>
  <conditionalFormatting sqref="AF6 AF8:AF10 AN8:AN10 AP8:AP10 AK8:AK10 AK17 AP17 AN17 AF17 AK14 AP14 AN14 AF14">
    <cfRule type="containsText" dxfId="344" priority="1608" operator="containsText" text="@@">
      <formula>NOT(ISERROR(SEARCH("@@",AF6)))</formula>
    </cfRule>
  </conditionalFormatting>
  <conditionalFormatting sqref="AP6">
    <cfRule type="containsText" dxfId="343" priority="1606" operator="containsText" text="@@">
      <formula>NOT(ISERROR(SEARCH("@@",AP6)))</formula>
    </cfRule>
  </conditionalFormatting>
  <conditionalFormatting sqref="AF18:AF19">
    <cfRule type="containsText" dxfId="342" priority="1604" operator="containsText" text="@@">
      <formula>NOT(ISERROR(SEARCH("@@",AF18)))</formula>
    </cfRule>
  </conditionalFormatting>
  <conditionalFormatting sqref="AN18:AN19">
    <cfRule type="containsText" dxfId="341" priority="1602" operator="containsText" text="@@">
      <formula>NOT(ISERROR(SEARCH("@@",AN18)))</formula>
    </cfRule>
  </conditionalFormatting>
  <conditionalFormatting sqref="AP18:AP19">
    <cfRule type="containsText" dxfId="340" priority="1601" operator="containsText" text="@@">
      <formula>NOT(ISERROR(SEARCH("@@",AP18)))</formula>
    </cfRule>
  </conditionalFormatting>
  <conditionalFormatting sqref="AK6">
    <cfRule type="containsText" dxfId="339" priority="1420" operator="containsText" text="@@">
      <formula>NOT(ISERROR(SEARCH("@@",AK6)))</formula>
    </cfRule>
  </conditionalFormatting>
  <conditionalFormatting sqref="AN6">
    <cfRule type="containsText" dxfId="338" priority="1419" operator="containsText" text="@@">
      <formula>NOT(ISERROR(SEARCH("@@",AN6)))</formula>
    </cfRule>
  </conditionalFormatting>
  <conditionalFormatting sqref="AE18:AE19">
    <cfRule type="expression" dxfId="337" priority="1413">
      <formula>FIND("(지역개발기금)",$L18)&gt;0</formula>
    </cfRule>
  </conditionalFormatting>
  <conditionalFormatting sqref="AC8:AC10 AC17:AC19 AC14">
    <cfRule type="containsText" dxfId="336" priority="1412" operator="containsText" text="국비입력필요">
      <formula>NOT(ISERROR(SEARCH("국비입력필요",AC8)))</formula>
    </cfRule>
  </conditionalFormatting>
  <conditionalFormatting sqref="AC18:AC19">
    <cfRule type="containsText" dxfId="335" priority="1411" operator="containsText" text="입력필요">
      <formula>NOT(ISERROR(SEARCH("입력필요",AC18)))</formula>
    </cfRule>
  </conditionalFormatting>
  <conditionalFormatting sqref="AD18:AD19">
    <cfRule type="expression" dxfId="334" priority="1410">
      <formula>FIND("(지방채)",$L18)&gt;0</formula>
    </cfRule>
  </conditionalFormatting>
  <conditionalFormatting sqref="AI18:AI19">
    <cfRule type="expression" dxfId="333" priority="1404">
      <formula>FIND("(지방채)",$L18)&gt;0</formula>
    </cfRule>
  </conditionalFormatting>
  <conditionalFormatting sqref="AJ18:AJ19">
    <cfRule type="expression" dxfId="332" priority="1403">
      <formula>FIND("(지역개발기금)",$L18)&gt;0</formula>
    </cfRule>
  </conditionalFormatting>
  <conditionalFormatting sqref="AH18:AH19">
    <cfRule type="containsText" dxfId="331" priority="1402" operator="containsText" text="입력필요">
      <formula>NOT(ISERROR(SEARCH("입력필요",AH18)))</formula>
    </cfRule>
  </conditionalFormatting>
  <conditionalFormatting sqref="AK18:AK19">
    <cfRule type="containsText" dxfId="330" priority="1401" operator="containsText" text="@@">
      <formula>NOT(ISERROR(SEARCH("@@",AK18)))</formula>
    </cfRule>
  </conditionalFormatting>
  <conditionalFormatting sqref="AC7 AH7">
    <cfRule type="containsText" dxfId="329" priority="805" operator="containsText" text="입력필요">
      <formula>NOT(ISERROR(SEARCH("입력필요",AC7)))</formula>
    </cfRule>
  </conditionalFormatting>
  <conditionalFormatting sqref="M3:M5">
    <cfRule type="containsText" dxfId="328" priority="780" operator="containsText" text="금액입력">
      <formula>NOT(ISERROR(SEARCH("금액입력",M3)))</formula>
    </cfRule>
  </conditionalFormatting>
  <conditionalFormatting sqref="N3:N5">
    <cfRule type="containsText" dxfId="327" priority="779" operator="containsText" text="금액입력">
      <formula>NOT(ISERROR(SEARCH("금액입력",N3)))</formula>
    </cfRule>
  </conditionalFormatting>
  <conditionalFormatting sqref="AM17:AM19 AM14 AM8:AM10">
    <cfRule type="expression" dxfId="326" priority="2478">
      <formula>FIND("(지역개발기금)",$L8)&gt;0</formula>
    </cfRule>
    <cfRule type="expression" dxfId="325" priority="2479">
      <formula>FIND("(지방채)",$L8)&gt;0</formula>
    </cfRule>
  </conditionalFormatting>
  <conditionalFormatting sqref="M7:N7">
    <cfRule type="containsText" dxfId="324" priority="525" operator="containsText" text="금액입력">
      <formula>NOT(ISERROR(SEARCH("금액입력",M7)))</formula>
    </cfRule>
  </conditionalFormatting>
  <conditionalFormatting sqref="B8:C10 B17:C17 B14:C14">
    <cfRule type="containsText" dxfId="323" priority="370" operator="containsText" text="직접입력">
      <formula>NOT(ISERROR(SEARCH("직접입력",B8)))</formula>
    </cfRule>
  </conditionalFormatting>
  <conditionalFormatting sqref="C18:C19">
    <cfRule type="containsText" dxfId="322" priority="451" operator="containsText" text="직접입력">
      <formula>NOT(ISERROR(SEARCH("직접입력",C18)))</formula>
    </cfRule>
  </conditionalFormatting>
  <conditionalFormatting sqref="B18:B19">
    <cfRule type="containsText" dxfId="321" priority="450" operator="containsText" text="직접입력">
      <formula>NOT(ISERROR(SEARCH("직접입력",B18)))</formula>
    </cfRule>
  </conditionalFormatting>
  <conditionalFormatting sqref="C18:C19">
    <cfRule type="containsText" dxfId="320" priority="452" operator="containsText" text="직접입력">
      <formula>NOT(ISERROR(SEARCH("직접입력",C18)))</formula>
    </cfRule>
  </conditionalFormatting>
  <conditionalFormatting sqref="F18:G19">
    <cfRule type="containsText" dxfId="319" priority="234" operator="containsText" text="직접입력">
      <formula>NOT(ISERROR(SEARCH("직접입력",F18)))</formula>
    </cfRule>
  </conditionalFormatting>
  <conditionalFormatting sqref="F16:G16">
    <cfRule type="containsText" dxfId="318" priority="83" operator="containsText" text="직접입력">
      <formula>NOT(ISERROR(SEARCH("직접입력",F16)))</formula>
    </cfRule>
  </conditionalFormatting>
  <conditionalFormatting sqref="K16">
    <cfRule type="containsText" dxfId="317" priority="82" operator="containsText" text="세부사업명 입력">
      <formula>NOT(ISERROR(SEARCH("세부사업명 입력",K16)))</formula>
    </cfRule>
  </conditionalFormatting>
  <conditionalFormatting sqref="L16:M16">
    <cfRule type="containsText" dxfId="316" priority="81" operator="containsText" text="부기명 입력">
      <formula>NOT(ISERROR(SEARCH("부기명 입력",L16)))</formula>
    </cfRule>
  </conditionalFormatting>
  <conditionalFormatting sqref="AD16">
    <cfRule type="expression" dxfId="315" priority="80">
      <formula>FIND("(지방채)",$L16)&gt;0</formula>
    </cfRule>
  </conditionalFormatting>
  <conditionalFormatting sqref="AE16">
    <cfRule type="expression" dxfId="314" priority="79">
      <formula>FIND("(지역개발기금)",$L16)&gt;0</formula>
    </cfRule>
  </conditionalFormatting>
  <conditionalFormatting sqref="AI16">
    <cfRule type="expression" dxfId="313" priority="78">
      <formula>FIND("(지방채)",$L16)&gt;0</formula>
    </cfRule>
  </conditionalFormatting>
  <conditionalFormatting sqref="AJ16">
    <cfRule type="expression" dxfId="312" priority="77">
      <formula>FIND("(지역개발기금)",$L16)&gt;0</formula>
    </cfRule>
  </conditionalFormatting>
  <conditionalFormatting sqref="AM16">
    <cfRule type="expression" dxfId="311" priority="76">
      <formula>FIND("(지역개발기금)",$L16)&gt;0</formula>
    </cfRule>
  </conditionalFormatting>
  <conditionalFormatting sqref="AC16 AH16">
    <cfRule type="containsText" dxfId="310" priority="75" operator="containsText" text="입력필요">
      <formula>NOT(ISERROR(SEARCH("입력필요",AC16)))</formula>
    </cfRule>
  </conditionalFormatting>
  <conditionalFormatting sqref="M16:O16">
    <cfRule type="containsText" dxfId="309" priority="74" operator="containsText" text="금액입력">
      <formula>NOT(ISERROR(SEARCH("금액입력",M16)))</formula>
    </cfRule>
  </conditionalFormatting>
  <conditionalFormatting sqref="AF16 AN16 AP16 AK16">
    <cfRule type="containsText" dxfId="308" priority="71" operator="containsText" text="@@">
      <formula>NOT(ISERROR(SEARCH("@@",AF16)))</formula>
    </cfRule>
  </conditionalFormatting>
  <conditionalFormatting sqref="AC16">
    <cfRule type="containsText" dxfId="307" priority="70" operator="containsText" text="국비입력필요">
      <formula>NOT(ISERROR(SEARCH("국비입력필요",AC16)))</formula>
    </cfRule>
  </conditionalFormatting>
  <conditionalFormatting sqref="AM16">
    <cfRule type="expression" dxfId="306" priority="72">
      <formula>FIND("(지역개발기금)",$L16)&gt;0</formula>
    </cfRule>
    <cfRule type="expression" dxfId="305" priority="73">
      <formula>FIND("(지방채)",$L16)&gt;0</formula>
    </cfRule>
  </conditionalFormatting>
  <conditionalFormatting sqref="B16:C16">
    <cfRule type="containsText" dxfId="304" priority="69" operator="containsText" text="직접입력">
      <formula>NOT(ISERROR(SEARCH("직접입력",B16)))</formula>
    </cfRule>
  </conditionalFormatting>
  <conditionalFormatting sqref="F15:G15">
    <cfRule type="containsText" dxfId="303" priority="68" operator="containsText" text="직접입력">
      <formula>NOT(ISERROR(SEARCH("직접입력",F15)))</formula>
    </cfRule>
  </conditionalFormatting>
  <conditionalFormatting sqref="K15">
    <cfRule type="containsText" dxfId="302" priority="67" operator="containsText" text="세부사업명 입력">
      <formula>NOT(ISERROR(SEARCH("세부사업명 입력",K15)))</formula>
    </cfRule>
  </conditionalFormatting>
  <conditionalFormatting sqref="L15:M15">
    <cfRule type="containsText" dxfId="301" priority="66" operator="containsText" text="부기명 입력">
      <formula>NOT(ISERROR(SEARCH("부기명 입력",L15)))</formula>
    </cfRule>
  </conditionalFormatting>
  <conditionalFormatting sqref="AD15">
    <cfRule type="expression" dxfId="300" priority="65">
      <formula>FIND("(지방채)",$L15)&gt;0</formula>
    </cfRule>
  </conditionalFormatting>
  <conditionalFormatting sqref="AE15">
    <cfRule type="expression" dxfId="299" priority="64">
      <formula>FIND("(지역개발기금)",$L15)&gt;0</formula>
    </cfRule>
  </conditionalFormatting>
  <conditionalFormatting sqref="AI15">
    <cfRule type="expression" dxfId="298" priority="63">
      <formula>FIND("(지방채)",$L15)&gt;0</formula>
    </cfRule>
  </conditionalFormatting>
  <conditionalFormatting sqref="AJ15">
    <cfRule type="expression" dxfId="297" priority="62">
      <formula>FIND("(지역개발기금)",$L15)&gt;0</formula>
    </cfRule>
  </conditionalFormatting>
  <conditionalFormatting sqref="AM15">
    <cfRule type="expression" dxfId="296" priority="61">
      <formula>FIND("(지역개발기금)",$L15)&gt;0</formula>
    </cfRule>
  </conditionalFormatting>
  <conditionalFormatting sqref="AC15 AH15">
    <cfRule type="containsText" dxfId="295" priority="60" operator="containsText" text="입력필요">
      <formula>NOT(ISERROR(SEARCH("입력필요",AC15)))</formula>
    </cfRule>
  </conditionalFormatting>
  <conditionalFormatting sqref="M15:O15">
    <cfRule type="containsText" dxfId="294" priority="59" operator="containsText" text="금액입력">
      <formula>NOT(ISERROR(SEARCH("금액입력",M15)))</formula>
    </cfRule>
  </conditionalFormatting>
  <conditionalFormatting sqref="AF15 AN15 AP15 AK15">
    <cfRule type="containsText" dxfId="293" priority="56" operator="containsText" text="@@">
      <formula>NOT(ISERROR(SEARCH("@@",AF15)))</formula>
    </cfRule>
  </conditionalFormatting>
  <conditionalFormatting sqref="AC15">
    <cfRule type="containsText" dxfId="292" priority="55" operator="containsText" text="국비입력필요">
      <formula>NOT(ISERROR(SEARCH("국비입력필요",AC15)))</formula>
    </cfRule>
  </conditionalFormatting>
  <conditionalFormatting sqref="AM15">
    <cfRule type="expression" dxfId="291" priority="57">
      <formula>FIND("(지역개발기금)",$L15)&gt;0</formula>
    </cfRule>
    <cfRule type="expression" dxfId="290" priority="58">
      <formula>FIND("(지방채)",$L15)&gt;0</formula>
    </cfRule>
  </conditionalFormatting>
  <conditionalFormatting sqref="B15:C15">
    <cfRule type="containsText" dxfId="289" priority="54" operator="containsText" text="직접입력">
      <formula>NOT(ISERROR(SEARCH("직접입력",B15)))</formula>
    </cfRule>
  </conditionalFormatting>
  <conditionalFormatting sqref="AD11">
    <cfRule type="expression" dxfId="288" priority="50">
      <formula>FIND("(지방채)",$L11)&gt;0</formula>
    </cfRule>
  </conditionalFormatting>
  <conditionalFormatting sqref="AE11">
    <cfRule type="expression" dxfId="287" priority="49">
      <formula>FIND("(지역개발기금)",$L11)&gt;0</formula>
    </cfRule>
  </conditionalFormatting>
  <conditionalFormatting sqref="AI11">
    <cfRule type="expression" dxfId="286" priority="48">
      <formula>FIND("(지방채)",$L11)&gt;0</formula>
    </cfRule>
  </conditionalFormatting>
  <conditionalFormatting sqref="AJ11">
    <cfRule type="expression" dxfId="285" priority="47">
      <formula>FIND("(지역개발기금)",$L11)&gt;0</formula>
    </cfRule>
  </conditionalFormatting>
  <conditionalFormatting sqref="AM11">
    <cfRule type="expression" dxfId="284" priority="46">
      <formula>FIND("(지역개발기금)",$L11)&gt;0</formula>
    </cfRule>
  </conditionalFormatting>
  <conditionalFormatting sqref="AH11 AC11">
    <cfRule type="containsText" dxfId="283" priority="45" operator="containsText" text="입력필요">
      <formula>NOT(ISERROR(SEARCH("입력필요",AC11)))</formula>
    </cfRule>
  </conditionalFormatting>
  <conditionalFormatting sqref="O11">
    <cfRule type="containsText" dxfId="282" priority="44" operator="containsText" text="금액입력">
      <formula>NOT(ISERROR(SEARCH("금액입력",O11)))</formula>
    </cfRule>
  </conditionalFormatting>
  <conditionalFormatting sqref="AK11 AP11 AN11 AF11">
    <cfRule type="containsText" dxfId="281" priority="41" operator="containsText" text="@@">
      <formula>NOT(ISERROR(SEARCH("@@",AF11)))</formula>
    </cfRule>
  </conditionalFormatting>
  <conditionalFormatting sqref="AC11">
    <cfRule type="containsText" dxfId="280" priority="40" operator="containsText" text="국비입력필요">
      <formula>NOT(ISERROR(SEARCH("국비입력필요",AC11)))</formula>
    </cfRule>
  </conditionalFormatting>
  <conditionalFormatting sqref="AM11">
    <cfRule type="expression" dxfId="279" priority="42">
      <formula>FIND("(지역개발기금)",$L11)&gt;0</formula>
    </cfRule>
    <cfRule type="expression" dxfId="278" priority="43">
      <formula>FIND("(지방채)",$L11)&gt;0</formula>
    </cfRule>
  </conditionalFormatting>
  <conditionalFormatting sqref="B11:C11">
    <cfRule type="containsText" dxfId="277" priority="39" operator="containsText" text="직접입력">
      <formula>NOT(ISERROR(SEARCH("직접입력",B11)))</formula>
    </cfRule>
  </conditionalFormatting>
  <conditionalFormatting sqref="F13:G13">
    <cfRule type="containsText" dxfId="276" priority="38" operator="containsText" text="직접입력">
      <formula>NOT(ISERROR(SEARCH("직접입력",F13)))</formula>
    </cfRule>
  </conditionalFormatting>
  <conditionalFormatting sqref="K13">
    <cfRule type="containsText" dxfId="275" priority="37" operator="containsText" text="세부사업명 입력">
      <formula>NOT(ISERROR(SEARCH("세부사업명 입력",K13)))</formula>
    </cfRule>
  </conditionalFormatting>
  <conditionalFormatting sqref="L13:M13">
    <cfRule type="containsText" dxfId="274" priority="36" operator="containsText" text="부기명 입력">
      <formula>NOT(ISERROR(SEARCH("부기명 입력",L13)))</formula>
    </cfRule>
  </conditionalFormatting>
  <conditionalFormatting sqref="AD13">
    <cfRule type="expression" dxfId="273" priority="35">
      <formula>FIND("(지방채)",$L13)&gt;0</formula>
    </cfRule>
  </conditionalFormatting>
  <conditionalFormatting sqref="AE13">
    <cfRule type="expression" dxfId="272" priority="34">
      <formula>FIND("(지역개발기금)",$L13)&gt;0</formula>
    </cfRule>
  </conditionalFormatting>
  <conditionalFormatting sqref="AI13">
    <cfRule type="expression" dxfId="271" priority="33">
      <formula>FIND("(지방채)",$L13)&gt;0</formula>
    </cfRule>
  </conditionalFormatting>
  <conditionalFormatting sqref="AJ13">
    <cfRule type="expression" dxfId="270" priority="32">
      <formula>FIND("(지역개발기금)",$L13)&gt;0</formula>
    </cfRule>
  </conditionalFormatting>
  <conditionalFormatting sqref="AM13">
    <cfRule type="expression" dxfId="269" priority="31">
      <formula>FIND("(지역개발기금)",$L13)&gt;0</formula>
    </cfRule>
  </conditionalFormatting>
  <conditionalFormatting sqref="AC13 AH13">
    <cfRule type="containsText" dxfId="268" priority="30" operator="containsText" text="입력필요">
      <formula>NOT(ISERROR(SEARCH("입력필요",AC13)))</formula>
    </cfRule>
  </conditionalFormatting>
  <conditionalFormatting sqref="M13:O13">
    <cfRule type="containsText" dxfId="267" priority="29" operator="containsText" text="금액입력">
      <formula>NOT(ISERROR(SEARCH("금액입력",M13)))</formula>
    </cfRule>
  </conditionalFormatting>
  <conditionalFormatting sqref="AF13 AN13 AP13 AK13">
    <cfRule type="containsText" dxfId="266" priority="26" operator="containsText" text="@@">
      <formula>NOT(ISERROR(SEARCH("@@",AF13)))</formula>
    </cfRule>
  </conditionalFormatting>
  <conditionalFormatting sqref="AC13">
    <cfRule type="containsText" dxfId="265" priority="25" operator="containsText" text="국비입력필요">
      <formula>NOT(ISERROR(SEARCH("국비입력필요",AC13)))</formula>
    </cfRule>
  </conditionalFormatting>
  <conditionalFormatting sqref="AM13">
    <cfRule type="expression" dxfId="264" priority="27">
      <formula>FIND("(지역개발기금)",$L13)&gt;0</formula>
    </cfRule>
    <cfRule type="expression" dxfId="263" priority="28">
      <formula>FIND("(지방채)",$L13)&gt;0</formula>
    </cfRule>
  </conditionalFormatting>
  <conditionalFormatting sqref="B13:C13">
    <cfRule type="containsText" dxfId="262" priority="24" operator="containsText" text="직접입력">
      <formula>NOT(ISERROR(SEARCH("직접입력",B13)))</formula>
    </cfRule>
  </conditionalFormatting>
  <conditionalFormatting sqref="F12:G12">
    <cfRule type="containsText" dxfId="261" priority="23" operator="containsText" text="직접입력">
      <formula>NOT(ISERROR(SEARCH("직접입력",F12)))</formula>
    </cfRule>
  </conditionalFormatting>
  <conditionalFormatting sqref="K12">
    <cfRule type="containsText" dxfId="260" priority="22" operator="containsText" text="세부사업명 입력">
      <formula>NOT(ISERROR(SEARCH("세부사업명 입력",K12)))</formula>
    </cfRule>
  </conditionalFormatting>
  <conditionalFormatting sqref="L12:M12">
    <cfRule type="containsText" dxfId="259" priority="21" operator="containsText" text="부기명 입력">
      <formula>NOT(ISERROR(SEARCH("부기명 입력",L12)))</formula>
    </cfRule>
  </conditionalFormatting>
  <conditionalFormatting sqref="AD12">
    <cfRule type="expression" dxfId="258" priority="20">
      <formula>FIND("(지방채)",$L12)&gt;0</formula>
    </cfRule>
  </conditionalFormatting>
  <conditionalFormatting sqref="AE12">
    <cfRule type="expression" dxfId="257" priority="19">
      <formula>FIND("(지역개발기금)",$L12)&gt;0</formula>
    </cfRule>
  </conditionalFormatting>
  <conditionalFormatting sqref="AI12">
    <cfRule type="expression" dxfId="256" priority="18">
      <formula>FIND("(지방채)",$L12)&gt;0</formula>
    </cfRule>
  </conditionalFormatting>
  <conditionalFormatting sqref="AJ12">
    <cfRule type="expression" dxfId="255" priority="17">
      <formula>FIND("(지역개발기금)",$L12)&gt;0</formula>
    </cfRule>
  </conditionalFormatting>
  <conditionalFormatting sqref="AM12">
    <cfRule type="expression" dxfId="254" priority="16">
      <formula>FIND("(지역개발기금)",$L12)&gt;0</formula>
    </cfRule>
  </conditionalFormatting>
  <conditionalFormatting sqref="AC12 AH12">
    <cfRule type="containsText" dxfId="253" priority="15" operator="containsText" text="입력필요">
      <formula>NOT(ISERROR(SEARCH("입력필요",AC12)))</formula>
    </cfRule>
  </conditionalFormatting>
  <conditionalFormatting sqref="M12:O12">
    <cfRule type="containsText" dxfId="252" priority="14" operator="containsText" text="금액입력">
      <formula>NOT(ISERROR(SEARCH("금액입력",M12)))</formula>
    </cfRule>
  </conditionalFormatting>
  <conditionalFormatting sqref="AF12 AN12 AP12 AK12">
    <cfRule type="containsText" dxfId="251" priority="11" operator="containsText" text="@@">
      <formula>NOT(ISERROR(SEARCH("@@",AF12)))</formula>
    </cfRule>
  </conditionalFormatting>
  <conditionalFormatting sqref="AC12">
    <cfRule type="containsText" dxfId="250" priority="10" operator="containsText" text="국비입력필요">
      <formula>NOT(ISERROR(SEARCH("국비입력필요",AC12)))</formula>
    </cfRule>
  </conditionalFormatting>
  <conditionalFormatting sqref="AM12">
    <cfRule type="expression" dxfId="249" priority="12">
      <formula>FIND("(지역개발기금)",$L12)&gt;0</formula>
    </cfRule>
    <cfRule type="expression" dxfId="248" priority="13">
      <formula>FIND("(지방채)",$L12)&gt;0</formula>
    </cfRule>
  </conditionalFormatting>
  <conditionalFormatting sqref="B12:C12">
    <cfRule type="containsText" dxfId="247" priority="9" operator="containsText" text="직접입력">
      <formula>NOT(ISERROR(SEARCH("직접입력",B12)))</formula>
    </cfRule>
  </conditionalFormatting>
  <conditionalFormatting sqref="F11:G11">
    <cfRule type="containsText" dxfId="246" priority="8" operator="containsText" text="직접입력">
      <formula>NOT(ISERROR(SEARCH("직접입력",F11)))</formula>
    </cfRule>
  </conditionalFormatting>
  <conditionalFormatting sqref="K11">
    <cfRule type="containsText" dxfId="245" priority="7" operator="containsText" text="세부사업명 입력">
      <formula>NOT(ISERROR(SEARCH("세부사업명 입력",K11)))</formula>
    </cfRule>
  </conditionalFormatting>
  <conditionalFormatting sqref="L11:M11">
    <cfRule type="containsText" dxfId="244" priority="6" operator="containsText" text="부기명 입력">
      <formula>NOT(ISERROR(SEARCH("부기명 입력",L11)))</formula>
    </cfRule>
  </conditionalFormatting>
  <conditionalFormatting sqref="M11:N11">
    <cfRule type="containsText" dxfId="243" priority="5" operator="containsText" text="금액입력">
      <formula>NOT(ISERROR(SEARCH("금액입력",M11)))</formula>
    </cfRule>
  </conditionalFormatting>
  <conditionalFormatting sqref="F8:G8">
    <cfRule type="containsText" dxfId="242" priority="4" operator="containsText" text="직접입력">
      <formula>NOT(ISERROR(SEARCH("직접입력",F8)))</formula>
    </cfRule>
  </conditionalFormatting>
  <conditionalFormatting sqref="K8">
    <cfRule type="containsText" dxfId="241" priority="3" operator="containsText" text="세부사업명 입력">
      <formula>NOT(ISERROR(SEARCH("세부사업명 입력",K8)))</formula>
    </cfRule>
  </conditionalFormatting>
  <conditionalFormatting sqref="L8:M8">
    <cfRule type="containsText" dxfId="240" priority="2" operator="containsText" text="부기명 입력">
      <formula>NOT(ISERROR(SEARCH("부기명 입력",L8)))</formula>
    </cfRule>
  </conditionalFormatting>
  <conditionalFormatting sqref="M8:N8">
    <cfRule type="containsText" dxfId="239" priority="1" operator="containsText" text="금액입력">
      <formula>NOT(ISERROR(SEARCH("금액입력",M8)))</formula>
    </cfRule>
  </conditionalFormatting>
  <dataValidations count="4">
    <dataValidation type="list" allowBlank="1" showInputMessage="1" showErrorMessage="1" sqref="E6" xr:uid="{00000000-0002-0000-0500-000000000000}">
      <formula1>"본예산, 신규"</formula1>
    </dataValidation>
    <dataValidation type="list" allowBlank="1" showInputMessage="1" showErrorMessage="1" sqref="W8:W19" xr:uid="{00000000-0002-0000-0500-000002000000}">
      <formula1>"동의, 부동의, 미실시"</formula1>
    </dataValidation>
    <dataValidation type="custom" allowBlank="1" showInputMessage="1" showErrorMessage="1" sqref="B8:B19" xr:uid="{35B7197D-7D7E-48BB-81F8-3014CFFC62FD}">
      <formula1>"여성가족평생교육위원회"</formula1>
    </dataValidation>
    <dataValidation type="list" allowBlank="1" showInputMessage="1" showErrorMessage="1" sqref="E8:E19" xr:uid="{B255C1E4-99E6-4674-8725-C6D1A9F6E824}">
      <formula1>"본예산, 1추, 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0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1B24775-824F-4C83-9195-BDE92030FF20}">
          <x14:formula1>
            <xm:f>구분표!$AN$3:$AN$7</xm:f>
          </x14:formula1>
          <xm:sqref>C8:C19</xm:sqref>
        </x14:dataValidation>
        <x14:dataValidation type="list" allowBlank="1" showInputMessage="1" showErrorMessage="1" xr:uid="{EDC4CEC6-D6D4-4F5B-BCDE-DAF58015B165}">
          <x14:formula1>
            <xm:f>구분표!$AB$3:$AB$14</xm:f>
          </x14:formula1>
          <xm:sqref>D8:D19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FF"/>
    <pageSetUpPr fitToPage="1"/>
  </sheetPr>
  <dimension ref="A1:AY27"/>
  <sheetViews>
    <sheetView view="pageBreakPreview" zoomScale="55" zoomScaleNormal="40" zoomScaleSheetLayoutView="55" workbookViewId="0">
      <pane ySplit="6" topLeftCell="A7" activePane="bottomLeft" state="frozen"/>
      <selection sqref="A1:W1"/>
      <selection pane="bottomLeft" activeCell="K9" sqref="K9"/>
    </sheetView>
  </sheetViews>
  <sheetFormatPr defaultColWidth="9" defaultRowHeight="50.1" customHeight="1"/>
  <cols>
    <col min="1" max="1" width="9.875" style="22" customWidth="1"/>
    <col min="2" max="2" width="20.5" style="47" customWidth="1"/>
    <col min="3" max="3" width="20" style="47" customWidth="1"/>
    <col min="4" max="4" width="27.125" style="47" customWidth="1"/>
    <col min="5" max="5" width="9.625" style="47" customWidth="1"/>
    <col min="6" max="7" width="15.625" style="20" customWidth="1"/>
    <col min="8" max="10" width="15.375" style="20" customWidth="1"/>
    <col min="11" max="12" width="40.625" style="379" customWidth="1"/>
    <col min="13" max="14" width="25.625" style="379" customWidth="1"/>
    <col min="15" max="18" width="25.625" style="380" customWidth="1"/>
    <col min="19" max="19" width="25.625" style="404" customWidth="1"/>
    <col min="20" max="20" width="13.875" style="20" customWidth="1"/>
    <col min="21" max="21" width="19.625" style="32" bestFit="1" customWidth="1"/>
    <col min="22" max="22" width="26.625" style="32" bestFit="1" customWidth="1"/>
    <col min="23" max="23" width="14.875" style="33" bestFit="1" customWidth="1"/>
    <col min="24" max="24" width="30" style="21" customWidth="1"/>
    <col min="25" max="26" width="16.5" style="21" customWidth="1"/>
    <col min="27" max="27" width="4.625" style="20" customWidth="1"/>
    <col min="28" max="31" width="20.625" style="380" customWidth="1"/>
    <col min="32" max="32" width="25.625" style="20" customWidth="1"/>
    <col min="33" max="33" width="3" style="20" customWidth="1"/>
    <col min="34" max="37" width="20.625" style="380" customWidth="1"/>
    <col min="38" max="38" width="25.625" style="20" customWidth="1"/>
    <col min="39" max="39" width="2.25" style="20" customWidth="1"/>
    <col min="40" max="40" width="26.25" style="35" customWidth="1"/>
    <col min="41" max="41" width="17.875" style="20" bestFit="1" customWidth="1"/>
    <col min="42" max="42" width="9" style="43" customWidth="1"/>
    <col min="43" max="43" width="13.125" style="20" bestFit="1" customWidth="1"/>
    <col min="44" max="44" width="2.625" style="20" customWidth="1"/>
    <col min="45" max="45" width="26.25" style="35" customWidth="1"/>
    <col min="46" max="46" width="17.875" style="20" customWidth="1"/>
    <col min="47" max="47" width="17.625" style="35" customWidth="1"/>
    <col min="48" max="48" width="14.875" style="20" bestFit="1" customWidth="1"/>
    <col min="49" max="49" width="2.625" style="20" customWidth="1"/>
    <col min="50" max="50" width="9.875" style="20" bestFit="1" customWidth="1"/>
    <col min="51" max="51" width="5.375" style="20" customWidth="1"/>
    <col min="52" max="16384" width="9" style="20"/>
  </cols>
  <sheetData>
    <row r="1" spans="1:51" ht="95.25" customHeight="1">
      <c r="A1" s="620" t="s">
        <v>1016</v>
      </c>
      <c r="B1" s="620"/>
      <c r="C1" s="620"/>
      <c r="D1" s="620"/>
      <c r="E1" s="620"/>
      <c r="F1" s="620"/>
      <c r="G1" s="620"/>
      <c r="H1" s="620"/>
      <c r="I1" s="620"/>
      <c r="J1" s="620"/>
      <c r="K1" s="620"/>
      <c r="L1" s="620"/>
      <c r="M1" s="620"/>
      <c r="N1" s="620"/>
      <c r="O1" s="620"/>
      <c r="P1" s="620"/>
      <c r="Q1" s="620"/>
      <c r="R1" s="620"/>
      <c r="S1" s="620"/>
      <c r="T1" s="620"/>
      <c r="U1" s="620"/>
      <c r="V1" s="620"/>
      <c r="W1" s="620"/>
      <c r="X1" s="620"/>
      <c r="Y1" s="620"/>
      <c r="Z1" s="620"/>
      <c r="AB1" s="649" t="s">
        <v>1069</v>
      </c>
      <c r="AC1" s="650"/>
      <c r="AD1" s="650"/>
      <c r="AE1" s="651"/>
      <c r="AH1" s="646" t="s">
        <v>1069</v>
      </c>
      <c r="AI1" s="647"/>
      <c r="AJ1" s="647"/>
      <c r="AK1" s="648"/>
      <c r="AN1" s="639" t="s">
        <v>1085</v>
      </c>
      <c r="AO1" s="640"/>
      <c r="AP1" s="640"/>
      <c r="AQ1" s="641"/>
      <c r="AS1" s="639" t="s">
        <v>1086</v>
      </c>
      <c r="AT1" s="640"/>
      <c r="AU1" s="640"/>
      <c r="AV1" s="641"/>
    </row>
    <row r="2" spans="1:51" ht="39.75" customHeight="1">
      <c r="B2" s="652"/>
      <c r="C2" s="652"/>
      <c r="D2" s="652"/>
      <c r="E2" s="652"/>
      <c r="F2" s="652"/>
      <c r="G2" s="652"/>
      <c r="H2" s="652"/>
      <c r="I2" s="652"/>
      <c r="J2" s="652"/>
      <c r="K2" s="652"/>
      <c r="L2" s="652"/>
      <c r="M2" s="465"/>
      <c r="N2" s="465"/>
      <c r="O2" s="381"/>
      <c r="P2" s="399">
        <f>SUM(P7:P91)/2</f>
        <v>836750</v>
      </c>
      <c r="Q2" s="399">
        <f>SUM(Q7:Q91)/2</f>
        <v>1043840</v>
      </c>
      <c r="R2" s="399">
        <f>SUM(R7:R91)/2</f>
        <v>0</v>
      </c>
      <c r="S2" s="399">
        <f>SUM(S7:S91)/2</f>
        <v>207090</v>
      </c>
      <c r="T2" s="64"/>
      <c r="V2" s="30"/>
      <c r="W2" s="34" t="s">
        <v>297</v>
      </c>
      <c r="X2" s="34"/>
      <c r="Y2" s="627" t="s">
        <v>114</v>
      </c>
      <c r="Z2" s="627"/>
      <c r="AB2" s="418" t="str">
        <f>IF(AB6='3. 일입'!AA7,"OK","@@")</f>
        <v>@@</v>
      </c>
      <c r="AC2" s="394"/>
      <c r="AD2" s="394"/>
      <c r="AE2" s="410"/>
      <c r="AF2" s="320" t="s">
        <v>1044</v>
      </c>
      <c r="AH2" s="418" t="str">
        <f>IF(AH6='3. 일입'!AF7,"OK","@@")</f>
        <v>OK</v>
      </c>
      <c r="AI2" s="394"/>
      <c r="AJ2" s="394"/>
      <c r="AK2" s="394"/>
      <c r="AL2" s="320" t="s">
        <v>1044</v>
      </c>
      <c r="AN2" s="22"/>
      <c r="AO2" s="23"/>
      <c r="AP2" s="276"/>
      <c r="AQ2" s="320" t="s">
        <v>1044</v>
      </c>
      <c r="AS2" s="22"/>
      <c r="AT2" s="23"/>
      <c r="AU2" s="22"/>
      <c r="AV2" s="320" t="s">
        <v>1044</v>
      </c>
    </row>
    <row r="3" spans="1:51" s="272" customFormat="1" ht="39.950000000000003" customHeight="1">
      <c r="A3" s="579" t="s">
        <v>184</v>
      </c>
      <c r="B3" s="583" t="s">
        <v>110</v>
      </c>
      <c r="C3" s="583" t="s">
        <v>111</v>
      </c>
      <c r="D3" s="583" t="s">
        <v>112</v>
      </c>
      <c r="E3" s="584" t="s">
        <v>113</v>
      </c>
      <c r="F3" s="584" t="s">
        <v>1084</v>
      </c>
      <c r="G3" s="584" t="s">
        <v>251</v>
      </c>
      <c r="H3" s="628" t="s">
        <v>1083</v>
      </c>
      <c r="I3" s="628" t="s">
        <v>269</v>
      </c>
      <c r="J3" s="628" t="s">
        <v>270</v>
      </c>
      <c r="K3" s="626" t="s">
        <v>758</v>
      </c>
      <c r="L3" s="626" t="s">
        <v>504</v>
      </c>
      <c r="M3" s="580" t="s">
        <v>1642</v>
      </c>
      <c r="N3" s="580" t="s">
        <v>1637</v>
      </c>
      <c r="O3" s="580" t="s">
        <v>1076</v>
      </c>
      <c r="P3" s="568" t="s">
        <v>1077</v>
      </c>
      <c r="Q3" s="567" t="s">
        <v>1080</v>
      </c>
      <c r="R3" s="568" t="s">
        <v>1078</v>
      </c>
      <c r="S3" s="567" t="s">
        <v>1079</v>
      </c>
      <c r="T3" s="598" t="s">
        <v>258</v>
      </c>
      <c r="U3" s="655" t="s">
        <v>255</v>
      </c>
      <c r="V3" s="567" t="s">
        <v>254</v>
      </c>
      <c r="W3" s="567" t="s">
        <v>256</v>
      </c>
      <c r="X3" s="598" t="s">
        <v>257</v>
      </c>
      <c r="Y3" s="598" t="s">
        <v>298</v>
      </c>
      <c r="Z3" s="568" t="s">
        <v>267</v>
      </c>
      <c r="AB3" s="653" t="s">
        <v>117</v>
      </c>
      <c r="AC3" s="654"/>
      <c r="AD3" s="654"/>
      <c r="AE3" s="653"/>
      <c r="AF3" s="654"/>
      <c r="AH3" s="662" t="s">
        <v>121</v>
      </c>
      <c r="AI3" s="663"/>
      <c r="AJ3" s="663"/>
      <c r="AK3" s="662"/>
      <c r="AL3" s="662"/>
      <c r="AN3" s="656" t="s">
        <v>1056</v>
      </c>
      <c r="AO3" s="657"/>
      <c r="AP3" s="657"/>
      <c r="AQ3" s="658"/>
      <c r="AS3" s="659" t="s">
        <v>1055</v>
      </c>
      <c r="AT3" s="660"/>
      <c r="AU3" s="660"/>
      <c r="AV3" s="661"/>
      <c r="AX3" s="587" t="s">
        <v>123</v>
      </c>
    </row>
    <row r="4" spans="1:51" s="272" customFormat="1" ht="39.950000000000003" customHeight="1">
      <c r="A4" s="579"/>
      <c r="B4" s="583"/>
      <c r="C4" s="583"/>
      <c r="D4" s="583"/>
      <c r="E4" s="584"/>
      <c r="F4" s="584"/>
      <c r="G4" s="584"/>
      <c r="H4" s="629"/>
      <c r="I4" s="629"/>
      <c r="J4" s="629"/>
      <c r="K4" s="626"/>
      <c r="L4" s="626"/>
      <c r="M4" s="580"/>
      <c r="N4" s="580"/>
      <c r="O4" s="580"/>
      <c r="P4" s="569"/>
      <c r="Q4" s="567"/>
      <c r="R4" s="569"/>
      <c r="S4" s="567"/>
      <c r="T4" s="598"/>
      <c r="U4" s="655"/>
      <c r="V4" s="567"/>
      <c r="W4" s="567"/>
      <c r="X4" s="598"/>
      <c r="Y4" s="598"/>
      <c r="Z4" s="569"/>
      <c r="AB4" s="606" t="s">
        <v>158</v>
      </c>
      <c r="AC4" s="575" t="s">
        <v>119</v>
      </c>
      <c r="AD4" s="576"/>
      <c r="AE4" s="577"/>
      <c r="AF4" s="588" t="s">
        <v>1048</v>
      </c>
      <c r="AH4" s="606" t="s">
        <v>158</v>
      </c>
      <c r="AI4" s="575" t="s">
        <v>119</v>
      </c>
      <c r="AJ4" s="576"/>
      <c r="AK4" s="577"/>
      <c r="AL4" s="588" t="s">
        <v>1062</v>
      </c>
      <c r="AN4" s="585" t="s">
        <v>122</v>
      </c>
      <c r="AO4" s="585" t="s">
        <v>1041</v>
      </c>
      <c r="AP4" s="585" t="s">
        <v>1046</v>
      </c>
      <c r="AQ4" s="585" t="s">
        <v>1022</v>
      </c>
      <c r="AS4" s="585" t="s">
        <v>1040</v>
      </c>
      <c r="AT4" s="585" t="s">
        <v>1041</v>
      </c>
      <c r="AU4" s="585" t="s">
        <v>1047</v>
      </c>
      <c r="AV4" s="585" t="s">
        <v>1022</v>
      </c>
      <c r="AX4" s="588"/>
    </row>
    <row r="5" spans="1:51" s="272" customFormat="1" ht="39.950000000000003" customHeight="1">
      <c r="A5" s="579"/>
      <c r="B5" s="583"/>
      <c r="C5" s="583"/>
      <c r="D5" s="583"/>
      <c r="E5" s="584"/>
      <c r="F5" s="584"/>
      <c r="G5" s="584"/>
      <c r="H5" s="630"/>
      <c r="I5" s="630"/>
      <c r="J5" s="630"/>
      <c r="K5" s="626"/>
      <c r="L5" s="626"/>
      <c r="M5" s="581"/>
      <c r="N5" s="581"/>
      <c r="O5" s="581"/>
      <c r="P5" s="570"/>
      <c r="Q5" s="599"/>
      <c r="R5" s="570"/>
      <c r="S5" s="599"/>
      <c r="T5" s="598"/>
      <c r="U5" s="655"/>
      <c r="V5" s="567"/>
      <c r="W5" s="567"/>
      <c r="X5" s="598"/>
      <c r="Y5" s="598"/>
      <c r="Z5" s="570"/>
      <c r="AB5" s="607"/>
      <c r="AC5" s="395" t="s">
        <v>1037</v>
      </c>
      <c r="AD5" s="395" t="s">
        <v>1034</v>
      </c>
      <c r="AE5" s="395" t="s">
        <v>1036</v>
      </c>
      <c r="AF5" s="637"/>
      <c r="AH5" s="607"/>
      <c r="AI5" s="395" t="s">
        <v>1037</v>
      </c>
      <c r="AJ5" s="395" t="s">
        <v>1034</v>
      </c>
      <c r="AK5" s="395" t="s">
        <v>1036</v>
      </c>
      <c r="AL5" s="637"/>
      <c r="AN5" s="586"/>
      <c r="AO5" s="586"/>
      <c r="AP5" s="586"/>
      <c r="AQ5" s="586"/>
      <c r="AS5" s="586"/>
      <c r="AT5" s="586"/>
      <c r="AU5" s="586"/>
      <c r="AV5" s="586"/>
      <c r="AX5" s="589"/>
    </row>
    <row r="6" spans="1:51" s="329" customFormat="1" ht="80.099999999999994" customHeight="1">
      <c r="A6" s="132"/>
      <c r="B6" s="132" t="s">
        <v>252</v>
      </c>
      <c r="C6" s="353" t="s">
        <v>191</v>
      </c>
      <c r="D6" s="354"/>
      <c r="E6" s="355"/>
      <c r="F6" s="355"/>
      <c r="G6" s="355"/>
      <c r="H6" s="355"/>
      <c r="I6" s="355"/>
      <c r="J6" s="355"/>
      <c r="K6" s="356" t="s">
        <v>191</v>
      </c>
      <c r="L6" s="316" t="str">
        <f>SUBTOTAL(3,L$7:L$1840)&amp;"건"</f>
        <v>2건</v>
      </c>
      <c r="M6" s="401">
        <f t="shared" ref="M6:S6" si="0">SUBTOTAL(9,M$7:M$1840)</f>
        <v>207090</v>
      </c>
      <c r="N6" s="401">
        <f t="shared" si="0"/>
        <v>0</v>
      </c>
      <c r="O6" s="401">
        <f t="shared" si="0"/>
        <v>207090</v>
      </c>
      <c r="P6" s="401">
        <f t="shared" si="0"/>
        <v>836750</v>
      </c>
      <c r="Q6" s="401">
        <f t="shared" si="0"/>
        <v>1043840</v>
      </c>
      <c r="R6" s="401">
        <f t="shared" si="0"/>
        <v>0</v>
      </c>
      <c r="S6" s="401">
        <f t="shared" si="0"/>
        <v>207090</v>
      </c>
      <c r="T6" s="355"/>
      <c r="U6" s="358"/>
      <c r="V6" s="357"/>
      <c r="W6" s="132"/>
      <c r="X6" s="358"/>
      <c r="Y6" s="358"/>
      <c r="Z6" s="358"/>
      <c r="AB6" s="411">
        <f>SUBTOTAL(9,AB$7:AB$1840)</f>
        <v>436750</v>
      </c>
      <c r="AC6" s="411">
        <f>SUBTOTAL(9,AC$7:AC$1840)</f>
        <v>400000</v>
      </c>
      <c r="AD6" s="411">
        <f>SUBTOTAL(9,AD$7:AD$1840)</f>
        <v>0</v>
      </c>
      <c r="AE6" s="411">
        <f>SUBTOTAL(9,AE$7:AE$1840)</f>
        <v>0</v>
      </c>
      <c r="AF6" s="335" t="str">
        <f>IF(COUNTIF(AF$7:AF$1840,"@@")&gt;0,"@@","OK")</f>
        <v>OK</v>
      </c>
      <c r="AG6" s="359"/>
      <c r="AH6" s="411">
        <f>SUBTOTAL(9,AH$7:AH$1840)</f>
        <v>0</v>
      </c>
      <c r="AI6" s="411">
        <f>SUBTOTAL(9,AI$7:AI$1840)</f>
        <v>0</v>
      </c>
      <c r="AJ6" s="411">
        <f>SUBTOTAL(9,AJ$7:AJ$1840)</f>
        <v>0</v>
      </c>
      <c r="AK6" s="411">
        <f>SUBTOTAL(9,AK$7:AK$1840)</f>
        <v>0</v>
      </c>
      <c r="AL6" s="335" t="str">
        <f>IF(COUNTIF(AL$7:AL$1840,"@@")&gt;0,"@@","OK")</f>
        <v>OK</v>
      </c>
      <c r="AN6" s="347"/>
      <c r="AO6" s="335" t="str">
        <f>IF(COUNTIF(AO$7:AO$1840,"@@")&gt;0,"@@","OK")</f>
        <v>OK</v>
      </c>
      <c r="AP6" s="361"/>
      <c r="AQ6" s="335" t="str">
        <f>IF(COUNTIF(AQ$7:AQ$1840,"@@")&gt;0,"@@","OK")</f>
        <v>OK</v>
      </c>
      <c r="AS6" s="347"/>
      <c r="AT6" s="335" t="str">
        <f>IF(COUNTIF(AT$7:AT$1840,"@@")&gt;0,"@@","OK")</f>
        <v>OK</v>
      </c>
      <c r="AU6" s="347"/>
      <c r="AV6" s="335" t="str">
        <f>IF(COUNTIF(AV$7:AV$1840,"@@")&gt;0,"@@","OK")</f>
        <v>OK</v>
      </c>
      <c r="AX6" s="330"/>
    </row>
    <row r="7" spans="1:51" s="287" customFormat="1" ht="60" customHeight="1">
      <c r="A7" s="280"/>
      <c r="B7" s="625" t="s">
        <v>243</v>
      </c>
      <c r="C7" s="625"/>
      <c r="D7" s="625"/>
      <c r="E7" s="625"/>
      <c r="F7" s="625"/>
      <c r="G7" s="625"/>
      <c r="H7" s="281"/>
      <c r="I7" s="298"/>
      <c r="J7" s="298"/>
      <c r="K7" s="282"/>
      <c r="L7" s="283" t="str">
        <f>SUBTOTAL(3,$L8:$L22)&amp;"건"</f>
        <v>2건</v>
      </c>
      <c r="M7" s="402">
        <f t="shared" ref="M7:N7" si="1">SUBTOTAL(9,M8:M22)</f>
        <v>207090</v>
      </c>
      <c r="N7" s="402">
        <f t="shared" si="1"/>
        <v>0</v>
      </c>
      <c r="O7" s="408">
        <f t="shared" ref="O7:S7" si="2">SUBTOTAL(9,O8:O22)</f>
        <v>207090</v>
      </c>
      <c r="P7" s="408">
        <f t="shared" si="2"/>
        <v>836750</v>
      </c>
      <c r="Q7" s="408">
        <f t="shared" si="2"/>
        <v>1043840</v>
      </c>
      <c r="R7" s="408">
        <f t="shared" si="2"/>
        <v>0</v>
      </c>
      <c r="S7" s="408">
        <f t="shared" si="2"/>
        <v>207090</v>
      </c>
      <c r="T7" s="280"/>
      <c r="U7" s="466"/>
      <c r="V7" s="288"/>
      <c r="W7" s="284"/>
      <c r="X7" s="285"/>
      <c r="Y7" s="285"/>
      <c r="Z7" s="285"/>
      <c r="AA7" s="286"/>
      <c r="AB7" s="409">
        <f>SUBTOTAL(9,AB8:AB22)</f>
        <v>436750</v>
      </c>
      <c r="AC7" s="409">
        <f>SUBTOTAL(9,AC8:AC22)</f>
        <v>400000</v>
      </c>
      <c r="AD7" s="409">
        <f>SUBTOTAL(9,AD8:AD22)</f>
        <v>0</v>
      </c>
      <c r="AE7" s="409">
        <f>SUBTOTAL(9,AE8:AE22)</f>
        <v>0</v>
      </c>
      <c r="AF7" s="469" t="str">
        <f>IF(COUNTIF(AF8:AF22,"@@")&gt;0,"@@","OK")</f>
        <v>OK</v>
      </c>
      <c r="AG7" s="286"/>
      <c r="AH7" s="409">
        <f>SUBTOTAL(9,AH8:AH22)</f>
        <v>0</v>
      </c>
      <c r="AI7" s="409">
        <f>SUBTOTAL(9,AI8:AI22)</f>
        <v>0</v>
      </c>
      <c r="AJ7" s="409">
        <f>SUBTOTAL(9,AJ8:AJ22)</f>
        <v>0</v>
      </c>
      <c r="AK7" s="409">
        <f>SUBTOTAL(9,AK8:AK22)</f>
        <v>0</v>
      </c>
      <c r="AL7" s="469" t="str">
        <f>IF(COUNTIF(AL8:AL22,"@@")&gt;0,"@@","OK")</f>
        <v>OK</v>
      </c>
      <c r="AM7" s="286"/>
      <c r="AN7" s="285"/>
      <c r="AO7" s="469" t="str">
        <f>IF(COUNTIF(AO8:AO22,"@@")&gt;0,"@@","OK")</f>
        <v>OK</v>
      </c>
      <c r="AP7" s="285"/>
      <c r="AQ7" s="469" t="str">
        <f>IF(COUNTIF(AQ8:AQ22,"@@")&gt;0,"@@","OK")</f>
        <v>OK</v>
      </c>
      <c r="AR7" s="286"/>
      <c r="AS7" s="285"/>
      <c r="AT7" s="469" t="str">
        <f>IF(COUNTIF(AT8:AT22,"@@")&gt;0,"@@","OK")</f>
        <v>OK</v>
      </c>
      <c r="AU7" s="285"/>
      <c r="AV7" s="469" t="str">
        <f>IF(COUNTIF(AV8:AV22,"@@")&gt;0,"@@","OK")</f>
        <v>OK</v>
      </c>
      <c r="AW7" s="286"/>
      <c r="AX7" s="285"/>
      <c r="AY7" s="286"/>
    </row>
    <row r="8" spans="1:51" ht="80.099999999999994" customHeight="1">
      <c r="A8" s="115">
        <f>IF(D8="","",COUNTA($C$7:C8)-COUNTBLANK($C$7:C8)+11)</f>
        <v>11</v>
      </c>
      <c r="B8" s="116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>여성가족평생교육위원회</v>
      </c>
      <c r="C8" s="116" t="str">
        <f>IF(D8="","",IF(OR(D8="교육지원과",D8="총무과",D8="인사과"),"직접입력",VLOOKUP(D8,구분표!$A$3:$C$258,3,)))</f>
        <v>여성가족국</v>
      </c>
      <c r="D8" s="167" t="s">
        <v>109</v>
      </c>
      <c r="E8" s="161" t="s">
        <v>1639</v>
      </c>
      <c r="F8" s="323" t="str">
        <f>IF($E8="","",IF($E8="2추","직접입력","-"))</f>
        <v>-</v>
      </c>
      <c r="G8" s="323" t="str">
        <f>IF($E8="","",IF($E8="2추","직접입력","-"))</f>
        <v>-</v>
      </c>
      <c r="H8" s="161" t="s">
        <v>442</v>
      </c>
      <c r="I8" s="116" t="str">
        <f>IF(H8="","",VLOOKUP($H8,구분표!$K$3:$M$151,2,FALSE))</f>
        <v>자치단체등 자본이전</v>
      </c>
      <c r="J8" s="116" t="str">
        <f>IF(I8="","",VLOOKUP($H8,구분표!$K$3:$M$151,3,FALSE))</f>
        <v>자치단체자본보조</v>
      </c>
      <c r="K8" s="180" t="s">
        <v>1647</v>
      </c>
      <c r="L8" s="180" t="s">
        <v>1648</v>
      </c>
      <c r="M8" s="385">
        <v>207090</v>
      </c>
      <c r="N8" s="385" t="str">
        <f>IF($E8="", "", IF($E8="2추","금액입력", "-"))</f>
        <v>-</v>
      </c>
      <c r="O8" s="387">
        <f t="shared" ref="O8:O22" si="3">IF($E8="","",SUM(M8:N8))</f>
        <v>207090</v>
      </c>
      <c r="P8" s="386">
        <v>36750</v>
      </c>
      <c r="Q8" s="387">
        <f t="shared" ref="Q8:Q22" si="4">SUM(O8:P8)</f>
        <v>243840</v>
      </c>
      <c r="R8" s="388"/>
      <c r="S8" s="389">
        <f t="shared" ref="S8:S22" si="5">SUM(O8,R8)</f>
        <v>207090</v>
      </c>
      <c r="T8" s="118" t="str">
        <f t="shared" ref="T8:T22" si="6">IF(AND((Q8=0),(S8&gt;0)),"O",IF(AND((P8&lt;0),(Q8-S8&lt;0)),"O","X"))</f>
        <v>X</v>
      </c>
      <c r="U8" s="467" t="s">
        <v>1650</v>
      </c>
      <c r="V8" s="274"/>
      <c r="W8" s="169" t="s">
        <v>1665</v>
      </c>
      <c r="X8" s="171"/>
      <c r="Y8" s="277"/>
      <c r="Z8" s="277"/>
      <c r="AA8" s="28"/>
      <c r="AB8" s="412">
        <v>36750</v>
      </c>
      <c r="AC8" s="413">
        <f t="shared" ref="AC8:AC22" si="7">IF($P8="", 0, IF(AND(ISNUMBER($AB8), ISNUMBER(AD8), ISNUMBER(AE8)), $P8-$AB8-$AD8-$AE8, 0))</f>
        <v>0</v>
      </c>
      <c r="AD8" s="413">
        <f t="shared" ref="AD8:AD22" si="8">IF($P8="", 0, IF(COUNT(FIND("(지방채)",$L8))&gt;0, "재원입력필요", 0))</f>
        <v>0</v>
      </c>
      <c r="AE8" s="413">
        <f t="shared" ref="AE8:AE22" si="9">IF($P8="", 0, IF(COUNT(FIND("(지역개발기금)",$L8))&gt;0, "재원입력필요", 0))</f>
        <v>0</v>
      </c>
      <c r="AF8" s="310" t="str">
        <f t="shared" ref="AF8:AF22" si="10">IF($P8="", IF(SUM($AB8:$AE8)=0, "", "@@"), IF(AND($P8=SUM($AB8:$AE8),$Q8&gt;=0),"OK","@@"))</f>
        <v>OK</v>
      </c>
      <c r="AG8" s="78"/>
      <c r="AH8" s="414">
        <f t="shared" ref="AH8:AH22" si="11">IF($R8="", 0, IF($R8&lt;&gt;0, "재원입력필요", 0))</f>
        <v>0</v>
      </c>
      <c r="AI8" s="413">
        <f t="shared" ref="AI8:AI22" si="12">IF($R8="", 0, IF(AND(ISNUMBER($AH8), ISNUMBER($AJ8), ISNUMBER($AK8)), $R8-$AH8-$AJ8-$AK8, 0))</f>
        <v>0</v>
      </c>
      <c r="AJ8" s="413">
        <f t="shared" ref="AJ8:AJ22" si="13">IF($R8="", 0, IF(COUNT(FIND("(지방채)",$L8))&gt;0, "재원입력필요", 0))</f>
        <v>0</v>
      </c>
      <c r="AK8" s="413">
        <f t="shared" ref="AK8:AK22" si="14">IF($R8="", 0, IF(COUNT(FIND("(지역개발기금)",$L8))&gt;0, "재원입력필요", 0))</f>
        <v>0</v>
      </c>
      <c r="AL8" s="310" t="str">
        <f t="shared" ref="AL8:AL22" si="15">IF($R8="", IF(SUM($AH8:$AK8)=0, "", "@@"), IF(AND($R8=SUM($AH8:$AK8),$S8&gt;=0),"OK","@@"))</f>
        <v/>
      </c>
      <c r="AM8" s="77"/>
      <c r="AN8" s="169" t="s">
        <v>1649</v>
      </c>
      <c r="AO8" s="310" t="str">
        <f>IF($AP8="", "", IF($AN8="세입없음","OK", IF(OR($AP8="재원확인", $AN8=""),"@@", IF(COUNTIF('3. 일입'!$AK$8:$AK$1831, $AN8), "OK","@@"))))</f>
        <v>OK</v>
      </c>
      <c r="AP8" s="296" t="str">
        <f t="shared" ref="AP8:AP22" si="16">IF($K8="","",IF(COUNT(FIND("국비/",$K8)),"국비",IF(COUNT(FIND("균특/",$K8)),"균특",IF(COUNT(FIND("기금/",$K8)),"기금",IF(COUNT(FIND("교부세/",$K8)),"특교",IF(COUNT(FIND("소방안전/",$K8)),"소교",IF(COUNT(FIND("소멸대응/",$K8)),"소멸","재원확인")))))))</f>
        <v>균특</v>
      </c>
      <c r="AQ8" s="310" t="str">
        <f>IF(AND($AN8="",$AP8=""),"",IF(AND($AN8&lt;&gt;"",$AP8&lt;&gt;""),IF(AN8="세입없음","OK",IF(VLOOKUP($AN8,'3. 일입'!$AK$7:$AL$1831,2,FALSE)=$AP8,"OK","@@")), "@@"))</f>
        <v>OK</v>
      </c>
      <c r="AR8" s="78"/>
      <c r="AS8" s="453"/>
      <c r="AT8" s="310" t="str">
        <f>IF($AS8="","", IF($AS8="세입없음", "OK",  IF(COUNTIF('3. 일입'!$AN$8:$AN$1831, $AS8), "OK", "@@")))</f>
        <v/>
      </c>
      <c r="AU8" s="296" t="str">
        <f t="shared" ref="AU8:AU22" si="17">IF($L8="","",IF(COUNT(FIND("(지역개발기금)",$L8)),"지역개발기금",IF(COUNT(FIND("지방채",$L8)),"지방채","자체")))</f>
        <v>자체</v>
      </c>
      <c r="AV8" s="310" t="str">
        <f t="shared" ref="AV8:AV22" si="18">IF($AS8="", IF($AU8="", "", IF($AU8="자체", "OK", "@@")), IF($AS8="세입없음", "OK", IF($AU8="", "@@", IF(ISNUMBER(FIND($AU8,$AS8)),"OK","@@"))))</f>
        <v>OK</v>
      </c>
      <c r="AW8" s="78"/>
      <c r="AX8" s="290"/>
      <c r="AY8" s="27"/>
    </row>
    <row r="9" spans="1:51" s="19" customFormat="1" ht="80.099999999999994" customHeight="1">
      <c r="A9" s="115">
        <f>IF(D9="","",COUNTA($C$7:C9)-COUNTBLANK($C$7:C9)+11)</f>
        <v>12</v>
      </c>
      <c r="B9" s="116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>여성가족평생교육위원회</v>
      </c>
      <c r="C9" s="116" t="str">
        <f>IF(D9="","",IF(OR(D9="교육지원과",D9="총무과",D9="인사과"),"직접입력",VLOOKUP(D9,구분표!$A$3:$C$258,3,)))</f>
        <v>이민사회국</v>
      </c>
      <c r="D9" s="167" t="s">
        <v>1658</v>
      </c>
      <c r="E9" s="161" t="s">
        <v>1641</v>
      </c>
      <c r="F9" s="323" t="str">
        <f t="shared" ref="F9:G22" si="19">IF($E9="","",IF($E9="2추","직접입력","-"))</f>
        <v>-</v>
      </c>
      <c r="G9" s="323" t="str">
        <f t="shared" si="19"/>
        <v>-</v>
      </c>
      <c r="H9" s="161" t="s">
        <v>1662</v>
      </c>
      <c r="I9" s="116" t="str">
        <f>IF(H9="","",VLOOKUP($H9,구분표!$K$3:$M$151,2,FALSE))</f>
        <v>민간이전</v>
      </c>
      <c r="J9" s="116" t="str">
        <f>IF(I9="","",VLOOKUP($H9,구분표!$K$3:$M$151,3,FALSE))</f>
        <v>민간위탁금</v>
      </c>
      <c r="K9" s="180" t="s">
        <v>1663</v>
      </c>
      <c r="L9" s="180" t="s">
        <v>1661</v>
      </c>
      <c r="M9" s="385" t="str">
        <f t="shared" ref="M9:M22" si="20">IF($E9="","",IF(OR($E9="2추", $E9="1추", $E9="본예산"), "금액입력", "-"))</f>
        <v>-</v>
      </c>
      <c r="N9" s="385" t="str">
        <f t="shared" ref="N9:N22" si="21">IF($E9="", "", IF($E9="2추","금액입력", "-"))</f>
        <v>-</v>
      </c>
      <c r="O9" s="387">
        <f t="shared" si="3"/>
        <v>0</v>
      </c>
      <c r="P9" s="386">
        <v>800000</v>
      </c>
      <c r="Q9" s="387">
        <f t="shared" si="4"/>
        <v>800000</v>
      </c>
      <c r="R9" s="388"/>
      <c r="S9" s="389">
        <f t="shared" si="5"/>
        <v>0</v>
      </c>
      <c r="T9" s="118" t="str">
        <f t="shared" si="6"/>
        <v>X</v>
      </c>
      <c r="U9" s="467" t="s">
        <v>1668</v>
      </c>
      <c r="V9" s="274"/>
      <c r="W9" s="169" t="s">
        <v>1664</v>
      </c>
      <c r="X9" s="171"/>
      <c r="Y9" s="277"/>
      <c r="Z9" s="277"/>
      <c r="AA9" s="28"/>
      <c r="AB9" s="412">
        <v>400000</v>
      </c>
      <c r="AC9" s="413">
        <f t="shared" si="7"/>
        <v>400000</v>
      </c>
      <c r="AD9" s="413">
        <f t="shared" si="8"/>
        <v>0</v>
      </c>
      <c r="AE9" s="413">
        <f t="shared" si="9"/>
        <v>0</v>
      </c>
      <c r="AF9" s="310" t="str">
        <f t="shared" si="10"/>
        <v>OK</v>
      </c>
      <c r="AG9" s="78"/>
      <c r="AH9" s="414">
        <f t="shared" si="11"/>
        <v>0</v>
      </c>
      <c r="AI9" s="413">
        <f t="shared" si="12"/>
        <v>0</v>
      </c>
      <c r="AJ9" s="413">
        <f t="shared" si="13"/>
        <v>0</v>
      </c>
      <c r="AK9" s="413">
        <f t="shared" si="14"/>
        <v>0</v>
      </c>
      <c r="AL9" s="310" t="str">
        <f t="shared" si="15"/>
        <v/>
      </c>
      <c r="AM9" s="77"/>
      <c r="AN9" s="169" t="s">
        <v>1667</v>
      </c>
      <c r="AO9" s="310" t="str">
        <f>IF($AP9="", "", IF($AN9="세입없음","OK", IF(OR($AP9="재원확인", $AN9=""),"@@", IF(COUNTIF('3. 일입'!$AK$8:$AK$1831, $AN9), "OK","@@"))))</f>
        <v>OK</v>
      </c>
      <c r="AP9" s="296" t="str">
        <f t="shared" si="16"/>
        <v>국비</v>
      </c>
      <c r="AQ9" s="310" t="str">
        <f>IF(AND($AN9="",$AP9=""),"",IF(AND($AN9&lt;&gt;"",$AP9&lt;&gt;""),IF(AN9="세입없음","OK",IF(VLOOKUP($AN9,'3. 일입'!$AK$7:$AL$1831,2,FALSE)=$AP9,"OK","@@")), "@@"))</f>
        <v>OK</v>
      </c>
      <c r="AR9" s="78"/>
      <c r="AS9" s="453"/>
      <c r="AT9" s="310" t="str">
        <f>IF($AS9="","", IF($AS9="세입없음", "OK",  IF(COUNTIF('3. 일입'!$AN$8:$AN$1831, $AS9), "OK", "@@")))</f>
        <v/>
      </c>
      <c r="AU9" s="296" t="str">
        <f t="shared" si="17"/>
        <v>자체</v>
      </c>
      <c r="AV9" s="310" t="str">
        <f t="shared" si="18"/>
        <v>OK</v>
      </c>
      <c r="AW9" s="78"/>
      <c r="AX9" s="290"/>
      <c r="AY9" s="28"/>
    </row>
    <row r="10" spans="1:51" s="19" customFormat="1" ht="80.099999999999994" customHeight="1">
      <c r="A10" s="115" t="str">
        <f>IF(D10="","",COUNTA($C$7:C10)-COUNTBLANK($C$7:C10)+11)</f>
        <v/>
      </c>
      <c r="B10" s="116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16" t="str">
        <f>IF(D10="","",IF(OR(D10="교육지원과",D10="총무과",D10="인사과"),"직접입력",VLOOKUP(D10,구분표!$A$3:$C$258,3,)))</f>
        <v/>
      </c>
      <c r="D10" s="167"/>
      <c r="E10" s="161"/>
      <c r="F10" s="323" t="str">
        <f t="shared" si="19"/>
        <v/>
      </c>
      <c r="G10" s="323" t="str">
        <f t="shared" si="19"/>
        <v/>
      </c>
      <c r="H10" s="161"/>
      <c r="I10" s="116" t="str">
        <f>IF(H10="","",VLOOKUP($H10,구분표!$K$3:$M$151,2,FALSE))</f>
        <v/>
      </c>
      <c r="J10" s="116" t="str">
        <f>IF(I10="","",VLOOKUP($H10,구분표!$K$3:$M$151,3,FALSE))</f>
        <v/>
      </c>
      <c r="K10" s="180"/>
      <c r="L10" s="180"/>
      <c r="M10" s="385" t="str">
        <f t="shared" si="20"/>
        <v/>
      </c>
      <c r="N10" s="385" t="str">
        <f t="shared" si="21"/>
        <v/>
      </c>
      <c r="O10" s="387" t="str">
        <f t="shared" si="3"/>
        <v/>
      </c>
      <c r="P10" s="386"/>
      <c r="Q10" s="387">
        <f t="shared" si="4"/>
        <v>0</v>
      </c>
      <c r="R10" s="388"/>
      <c r="S10" s="389">
        <f t="shared" si="5"/>
        <v>0</v>
      </c>
      <c r="T10" s="118" t="str">
        <f t="shared" si="6"/>
        <v>X</v>
      </c>
      <c r="U10" s="467"/>
      <c r="V10" s="274"/>
      <c r="W10" s="169"/>
      <c r="X10" s="171"/>
      <c r="Y10" s="277"/>
      <c r="Z10" s="277"/>
      <c r="AA10" s="28"/>
      <c r="AB10" s="412">
        <f t="shared" ref="AB10:AB22" si="22">IF($P10="", 0, IF($P10&lt;&gt;0, "재원입력필요", 0))</f>
        <v>0</v>
      </c>
      <c r="AC10" s="413">
        <f t="shared" si="7"/>
        <v>0</v>
      </c>
      <c r="AD10" s="413">
        <f t="shared" si="8"/>
        <v>0</v>
      </c>
      <c r="AE10" s="413">
        <f t="shared" si="9"/>
        <v>0</v>
      </c>
      <c r="AF10" s="310" t="str">
        <f t="shared" si="10"/>
        <v/>
      </c>
      <c r="AG10" s="78"/>
      <c r="AH10" s="414">
        <f t="shared" si="11"/>
        <v>0</v>
      </c>
      <c r="AI10" s="413">
        <f t="shared" si="12"/>
        <v>0</v>
      </c>
      <c r="AJ10" s="413">
        <f t="shared" si="13"/>
        <v>0</v>
      </c>
      <c r="AK10" s="413">
        <f t="shared" si="14"/>
        <v>0</v>
      </c>
      <c r="AL10" s="310" t="str">
        <f t="shared" si="15"/>
        <v/>
      </c>
      <c r="AM10" s="77"/>
      <c r="AN10" s="169"/>
      <c r="AO10" s="310" t="str">
        <f>IF($AP10="", "", IF($AN10="세입없음","OK", IF(OR($AP10="재원확인", $AN10=""),"@@", IF(COUNTIF('3. 일입'!$AK$8:$AK$1831, $AN10), "OK","@@"))))</f>
        <v/>
      </c>
      <c r="AP10" s="296" t="str">
        <f t="shared" si="16"/>
        <v/>
      </c>
      <c r="AQ10" s="310" t="str">
        <f>IF(AND($AN10="",$AP10=""),"",IF(AND($AN10&lt;&gt;"",$AP10&lt;&gt;""),IF(AN10="세입없음","OK",IF(VLOOKUP($AN10,'3. 일입'!$AK$7:$AL$1831,2,FALSE)=$AP10,"OK","@@")), "@@"))</f>
        <v/>
      </c>
      <c r="AR10" s="78"/>
      <c r="AS10" s="453"/>
      <c r="AT10" s="310" t="str">
        <f>IF($AS10="","", IF($AS10="세입없음", "OK",  IF(COUNTIF('3. 일입'!$AN$8:$AN$1831, $AS10), "OK", "@@")))</f>
        <v/>
      </c>
      <c r="AU10" s="296" t="str">
        <f t="shared" si="17"/>
        <v/>
      </c>
      <c r="AV10" s="310" t="str">
        <f t="shared" si="18"/>
        <v/>
      </c>
      <c r="AW10" s="78"/>
      <c r="AX10" s="290"/>
      <c r="AY10" s="28"/>
    </row>
    <row r="11" spans="1:51" s="19" customFormat="1" ht="80.099999999999994" customHeight="1">
      <c r="A11" s="115" t="str">
        <f>IF(D11="","",COUNTA($C$7:C11)-COUNTBLANK($C$7:C11)+11)</f>
        <v/>
      </c>
      <c r="B11" s="116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16" t="str">
        <f>IF(D11="","",IF(OR(D11="교육지원과",D11="총무과",D11="인사과"),"직접입력",VLOOKUP(D11,구분표!$A$3:$C$258,3,)))</f>
        <v/>
      </c>
      <c r="D11" s="167"/>
      <c r="E11" s="161"/>
      <c r="F11" s="323" t="str">
        <f t="shared" si="19"/>
        <v/>
      </c>
      <c r="G11" s="323" t="str">
        <f t="shared" si="19"/>
        <v/>
      </c>
      <c r="H11" s="161"/>
      <c r="I11" s="116" t="str">
        <f>IF(H11="","",VLOOKUP($H11,구분표!$K$3:$M$151,2,FALSE))</f>
        <v/>
      </c>
      <c r="J11" s="116" t="str">
        <f>IF(I11="","",VLOOKUP($H11,구분표!$K$3:$M$151,3,FALSE))</f>
        <v/>
      </c>
      <c r="K11" s="180"/>
      <c r="L11" s="180"/>
      <c r="M11" s="385" t="str">
        <f t="shared" si="20"/>
        <v/>
      </c>
      <c r="N11" s="385" t="str">
        <f t="shared" si="21"/>
        <v/>
      </c>
      <c r="O11" s="387" t="str">
        <f t="shared" si="3"/>
        <v/>
      </c>
      <c r="P11" s="386"/>
      <c r="Q11" s="387">
        <f t="shared" si="4"/>
        <v>0</v>
      </c>
      <c r="R11" s="388"/>
      <c r="S11" s="389">
        <f t="shared" si="5"/>
        <v>0</v>
      </c>
      <c r="T11" s="118" t="str">
        <f t="shared" si="6"/>
        <v>X</v>
      </c>
      <c r="U11" s="467"/>
      <c r="V11" s="274"/>
      <c r="W11" s="169"/>
      <c r="X11" s="171"/>
      <c r="Y11" s="277"/>
      <c r="Z11" s="277"/>
      <c r="AA11" s="28"/>
      <c r="AB11" s="412">
        <f t="shared" si="22"/>
        <v>0</v>
      </c>
      <c r="AC11" s="413">
        <f t="shared" si="7"/>
        <v>0</v>
      </c>
      <c r="AD11" s="413">
        <f t="shared" si="8"/>
        <v>0</v>
      </c>
      <c r="AE11" s="413">
        <f t="shared" si="9"/>
        <v>0</v>
      </c>
      <c r="AF11" s="310" t="str">
        <f t="shared" si="10"/>
        <v/>
      </c>
      <c r="AG11" s="78"/>
      <c r="AH11" s="414">
        <f t="shared" si="11"/>
        <v>0</v>
      </c>
      <c r="AI11" s="413">
        <f t="shared" si="12"/>
        <v>0</v>
      </c>
      <c r="AJ11" s="413">
        <f t="shared" si="13"/>
        <v>0</v>
      </c>
      <c r="AK11" s="413">
        <f t="shared" si="14"/>
        <v>0</v>
      </c>
      <c r="AL11" s="310" t="str">
        <f t="shared" si="15"/>
        <v/>
      </c>
      <c r="AM11" s="77"/>
      <c r="AN11" s="169"/>
      <c r="AO11" s="310" t="str">
        <f>IF($AP11="", "", IF($AN11="세입없음","OK", IF(OR($AP11="재원확인", $AN11=""),"@@", IF(COUNTIF('3. 일입'!$AK$8:$AK$1831, $AN11), "OK","@@"))))</f>
        <v/>
      </c>
      <c r="AP11" s="296" t="str">
        <f t="shared" si="16"/>
        <v/>
      </c>
      <c r="AQ11" s="310" t="str">
        <f>IF(AND($AN11="",$AP11=""),"",IF(AND($AN11&lt;&gt;"",$AP11&lt;&gt;""),IF(AN11="세입없음","OK",IF(VLOOKUP($AN11,'3. 일입'!$AK$7:$AL$1831,2,FALSE)=$AP11,"OK","@@")), "@@"))</f>
        <v/>
      </c>
      <c r="AR11" s="78"/>
      <c r="AS11" s="453"/>
      <c r="AT11" s="310" t="str">
        <f>IF($AS11="","", IF($AS11="세입없음", "OK",  IF(COUNTIF('3. 일입'!$AN$8:$AN$1831, $AS11), "OK", "@@")))</f>
        <v/>
      </c>
      <c r="AU11" s="296" t="str">
        <f t="shared" si="17"/>
        <v/>
      </c>
      <c r="AV11" s="310" t="str">
        <f t="shared" si="18"/>
        <v/>
      </c>
      <c r="AW11" s="78"/>
      <c r="AX11" s="290"/>
      <c r="AY11" s="28"/>
    </row>
    <row r="12" spans="1:51" s="19" customFormat="1" ht="80.099999999999994" customHeight="1">
      <c r="A12" s="115" t="str">
        <f>IF(D12="","",COUNTA($C$7:C12)-COUNTBLANK($C$7:C12)+11)</f>
        <v/>
      </c>
      <c r="B12" s="116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16" t="str">
        <f>IF(D12="","",IF(OR(D12="교육지원과",D12="총무과",D12="인사과"),"직접입력",VLOOKUP(D12,구분표!$A$3:$C$258,3,)))</f>
        <v/>
      </c>
      <c r="D12" s="167"/>
      <c r="E12" s="161"/>
      <c r="F12" s="323" t="str">
        <f t="shared" si="19"/>
        <v/>
      </c>
      <c r="G12" s="323" t="str">
        <f t="shared" si="19"/>
        <v/>
      </c>
      <c r="H12" s="161"/>
      <c r="I12" s="116" t="str">
        <f>IF(H12="","",VLOOKUP($H12,구분표!$K$3:$M$151,2,FALSE))</f>
        <v/>
      </c>
      <c r="J12" s="116" t="str">
        <f>IF(I12="","",VLOOKUP($H12,구분표!$K$3:$M$151,3,FALSE))</f>
        <v/>
      </c>
      <c r="K12" s="180"/>
      <c r="L12" s="180"/>
      <c r="M12" s="385" t="str">
        <f t="shared" si="20"/>
        <v/>
      </c>
      <c r="N12" s="385" t="str">
        <f t="shared" si="21"/>
        <v/>
      </c>
      <c r="O12" s="387" t="str">
        <f t="shared" si="3"/>
        <v/>
      </c>
      <c r="P12" s="386"/>
      <c r="Q12" s="387">
        <f t="shared" si="4"/>
        <v>0</v>
      </c>
      <c r="R12" s="388"/>
      <c r="S12" s="389">
        <f t="shared" si="5"/>
        <v>0</v>
      </c>
      <c r="T12" s="118" t="str">
        <f t="shared" si="6"/>
        <v>X</v>
      </c>
      <c r="U12" s="467"/>
      <c r="V12" s="274"/>
      <c r="W12" s="169"/>
      <c r="X12" s="171"/>
      <c r="Y12" s="277"/>
      <c r="Z12" s="277"/>
      <c r="AA12" s="28"/>
      <c r="AB12" s="412">
        <f t="shared" si="22"/>
        <v>0</v>
      </c>
      <c r="AC12" s="413">
        <f t="shared" si="7"/>
        <v>0</v>
      </c>
      <c r="AD12" s="413">
        <f t="shared" si="8"/>
        <v>0</v>
      </c>
      <c r="AE12" s="413">
        <f t="shared" si="9"/>
        <v>0</v>
      </c>
      <c r="AF12" s="310" t="str">
        <f t="shared" si="10"/>
        <v/>
      </c>
      <c r="AG12" s="78"/>
      <c r="AH12" s="414">
        <f t="shared" si="11"/>
        <v>0</v>
      </c>
      <c r="AI12" s="413">
        <f t="shared" si="12"/>
        <v>0</v>
      </c>
      <c r="AJ12" s="413">
        <f t="shared" si="13"/>
        <v>0</v>
      </c>
      <c r="AK12" s="413">
        <f t="shared" si="14"/>
        <v>0</v>
      </c>
      <c r="AL12" s="310" t="str">
        <f t="shared" si="15"/>
        <v/>
      </c>
      <c r="AM12" s="77"/>
      <c r="AN12" s="169"/>
      <c r="AO12" s="310" t="str">
        <f>IF($AP12="", "", IF($AN12="세입없음","OK", IF(OR($AP12="재원확인", $AN12=""),"@@", IF(COUNTIF('3. 일입'!$AK$8:$AK$1831, $AN12), "OK","@@"))))</f>
        <v/>
      </c>
      <c r="AP12" s="296" t="str">
        <f t="shared" si="16"/>
        <v/>
      </c>
      <c r="AQ12" s="310" t="str">
        <f>IF(AND($AN12="",$AP12=""),"",IF(AND($AN12&lt;&gt;"",$AP12&lt;&gt;""),IF(AN12="세입없음","OK",IF(VLOOKUP($AN12,'3. 일입'!$AK$7:$AL$1831,2,FALSE)=$AP12,"OK","@@")), "@@"))</f>
        <v/>
      </c>
      <c r="AR12" s="78"/>
      <c r="AS12" s="453"/>
      <c r="AT12" s="310" t="str">
        <f>IF($AS12="","", IF($AS12="세입없음", "OK",  IF(COUNTIF('3. 일입'!$AN$8:$AN$1831, $AS12), "OK", "@@")))</f>
        <v/>
      </c>
      <c r="AU12" s="296" t="str">
        <f t="shared" si="17"/>
        <v/>
      </c>
      <c r="AV12" s="310" t="str">
        <f t="shared" si="18"/>
        <v/>
      </c>
      <c r="AW12" s="78"/>
      <c r="AX12" s="290"/>
      <c r="AY12" s="28"/>
    </row>
    <row r="13" spans="1:51" s="19" customFormat="1" ht="80.099999999999994" customHeight="1">
      <c r="A13" s="115" t="str">
        <f>IF(D13="","",COUNTA($C$7:C13)-COUNTBLANK($C$7:C13)+11)</f>
        <v/>
      </c>
      <c r="B13" s="116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16" t="str">
        <f>IF(D13="","",IF(OR(D13="교육지원과",D13="총무과",D13="인사과"),"직접입력",VLOOKUP(D13,구분표!$A$3:$C$258,3,)))</f>
        <v/>
      </c>
      <c r="D13" s="167"/>
      <c r="E13" s="161"/>
      <c r="F13" s="323" t="str">
        <f t="shared" si="19"/>
        <v/>
      </c>
      <c r="G13" s="323" t="str">
        <f t="shared" si="19"/>
        <v/>
      </c>
      <c r="H13" s="161"/>
      <c r="I13" s="116" t="str">
        <f>IF(H13="","",VLOOKUP($H13,구분표!$K$3:$M$151,2,FALSE))</f>
        <v/>
      </c>
      <c r="J13" s="116" t="str">
        <f>IF(I13="","",VLOOKUP($H13,구분표!$K$3:$M$151,3,FALSE))</f>
        <v/>
      </c>
      <c r="K13" s="180"/>
      <c r="L13" s="180"/>
      <c r="M13" s="385" t="str">
        <f t="shared" si="20"/>
        <v/>
      </c>
      <c r="N13" s="385" t="str">
        <f t="shared" si="21"/>
        <v/>
      </c>
      <c r="O13" s="387" t="str">
        <f t="shared" si="3"/>
        <v/>
      </c>
      <c r="P13" s="386"/>
      <c r="Q13" s="387">
        <f t="shared" si="4"/>
        <v>0</v>
      </c>
      <c r="R13" s="388"/>
      <c r="S13" s="389">
        <f t="shared" si="5"/>
        <v>0</v>
      </c>
      <c r="T13" s="118" t="str">
        <f t="shared" si="6"/>
        <v>X</v>
      </c>
      <c r="U13" s="467"/>
      <c r="V13" s="274"/>
      <c r="W13" s="169"/>
      <c r="X13" s="171"/>
      <c r="Y13" s="277"/>
      <c r="Z13" s="277"/>
      <c r="AA13" s="28"/>
      <c r="AB13" s="412">
        <f t="shared" si="22"/>
        <v>0</v>
      </c>
      <c r="AC13" s="413">
        <f t="shared" si="7"/>
        <v>0</v>
      </c>
      <c r="AD13" s="413">
        <f t="shared" si="8"/>
        <v>0</v>
      </c>
      <c r="AE13" s="413">
        <f t="shared" si="9"/>
        <v>0</v>
      </c>
      <c r="AF13" s="310" t="str">
        <f t="shared" si="10"/>
        <v/>
      </c>
      <c r="AG13" s="78"/>
      <c r="AH13" s="414">
        <f t="shared" si="11"/>
        <v>0</v>
      </c>
      <c r="AI13" s="413">
        <f t="shared" si="12"/>
        <v>0</v>
      </c>
      <c r="AJ13" s="413">
        <f t="shared" si="13"/>
        <v>0</v>
      </c>
      <c r="AK13" s="413">
        <f t="shared" si="14"/>
        <v>0</v>
      </c>
      <c r="AL13" s="310" t="str">
        <f t="shared" si="15"/>
        <v/>
      </c>
      <c r="AM13" s="77"/>
      <c r="AN13" s="169"/>
      <c r="AO13" s="310" t="str">
        <f>IF($AP13="", "", IF($AN13="세입없음","OK", IF(OR($AP13="재원확인", $AN13=""),"@@", IF(COUNTIF('3. 일입'!$AK$8:$AK$1831, $AN13), "OK","@@"))))</f>
        <v/>
      </c>
      <c r="AP13" s="296" t="str">
        <f t="shared" si="16"/>
        <v/>
      </c>
      <c r="AQ13" s="310" t="str">
        <f>IF(AND($AN13="",$AP13=""),"",IF(AND($AN13&lt;&gt;"",$AP13&lt;&gt;""),IF(AN13="세입없음","OK",IF(VLOOKUP($AN13,'3. 일입'!$AK$7:$AL$1831,2,FALSE)=$AP13,"OK","@@")), "@@"))</f>
        <v/>
      </c>
      <c r="AR13" s="78"/>
      <c r="AS13" s="453"/>
      <c r="AT13" s="310" t="str">
        <f>IF($AS13="","", IF($AS13="세입없음", "OK",  IF(COUNTIF('3. 일입'!$AN$8:$AN$1831, $AS13), "OK", "@@")))</f>
        <v/>
      </c>
      <c r="AU13" s="296" t="str">
        <f t="shared" si="17"/>
        <v/>
      </c>
      <c r="AV13" s="310" t="str">
        <f t="shared" si="18"/>
        <v/>
      </c>
      <c r="AW13" s="78"/>
      <c r="AX13" s="290"/>
      <c r="AY13" s="28"/>
    </row>
    <row r="14" spans="1:51" s="19" customFormat="1" ht="80.099999999999994" customHeight="1">
      <c r="A14" s="115" t="str">
        <f>IF(D14="","",COUNTA($C$7:C14)-COUNTBLANK($C$7:C14)+11)</f>
        <v/>
      </c>
      <c r="B14" s="116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16" t="str">
        <f>IF(D14="","",IF(OR(D14="교육지원과",D14="총무과",D14="인사과"),"직접입력",VLOOKUP(D14,구분표!$A$3:$C$258,3,)))</f>
        <v/>
      </c>
      <c r="D14" s="167"/>
      <c r="E14" s="161"/>
      <c r="F14" s="323" t="str">
        <f t="shared" si="19"/>
        <v/>
      </c>
      <c r="G14" s="323" t="str">
        <f t="shared" si="19"/>
        <v/>
      </c>
      <c r="H14" s="161"/>
      <c r="I14" s="116" t="str">
        <f>IF(H14="","",VLOOKUP($H14,구분표!$K$3:$M$151,2,FALSE))</f>
        <v/>
      </c>
      <c r="J14" s="116" t="str">
        <f>IF(I14="","",VLOOKUP($H14,구분표!$K$3:$M$151,3,FALSE))</f>
        <v/>
      </c>
      <c r="K14" s="180"/>
      <c r="L14" s="180"/>
      <c r="M14" s="385" t="str">
        <f t="shared" si="20"/>
        <v/>
      </c>
      <c r="N14" s="385" t="str">
        <f t="shared" si="21"/>
        <v/>
      </c>
      <c r="O14" s="387" t="str">
        <f t="shared" si="3"/>
        <v/>
      </c>
      <c r="P14" s="386"/>
      <c r="Q14" s="387">
        <f t="shared" si="4"/>
        <v>0</v>
      </c>
      <c r="R14" s="388"/>
      <c r="S14" s="389">
        <f t="shared" si="5"/>
        <v>0</v>
      </c>
      <c r="T14" s="118" t="str">
        <f t="shared" si="6"/>
        <v>X</v>
      </c>
      <c r="U14" s="467"/>
      <c r="V14" s="274"/>
      <c r="W14" s="169"/>
      <c r="X14" s="171"/>
      <c r="Y14" s="277"/>
      <c r="Z14" s="277"/>
      <c r="AA14" s="28"/>
      <c r="AB14" s="412">
        <f t="shared" si="22"/>
        <v>0</v>
      </c>
      <c r="AC14" s="413">
        <f t="shared" si="7"/>
        <v>0</v>
      </c>
      <c r="AD14" s="413">
        <f t="shared" si="8"/>
        <v>0</v>
      </c>
      <c r="AE14" s="413">
        <f t="shared" si="9"/>
        <v>0</v>
      </c>
      <c r="AF14" s="310" t="str">
        <f t="shared" si="10"/>
        <v/>
      </c>
      <c r="AG14" s="78"/>
      <c r="AH14" s="414">
        <f t="shared" si="11"/>
        <v>0</v>
      </c>
      <c r="AI14" s="413">
        <f t="shared" si="12"/>
        <v>0</v>
      </c>
      <c r="AJ14" s="413">
        <f t="shared" si="13"/>
        <v>0</v>
      </c>
      <c r="AK14" s="413">
        <f t="shared" si="14"/>
        <v>0</v>
      </c>
      <c r="AL14" s="310" t="str">
        <f t="shared" si="15"/>
        <v/>
      </c>
      <c r="AM14" s="77"/>
      <c r="AN14" s="169"/>
      <c r="AO14" s="310" t="str">
        <f>IF($AP14="", "", IF($AN14="세입없음","OK", IF(OR($AP14="재원확인", $AN14=""),"@@", IF(COUNTIF('3. 일입'!$AK$8:$AK$1831, $AN14), "OK","@@"))))</f>
        <v/>
      </c>
      <c r="AP14" s="296" t="str">
        <f t="shared" si="16"/>
        <v/>
      </c>
      <c r="AQ14" s="310" t="str">
        <f>IF(AND($AN14="",$AP14=""),"",IF(AND($AN14&lt;&gt;"",$AP14&lt;&gt;""),IF(AN14="세입없음","OK",IF(VLOOKUP($AN14,'3. 일입'!$AK$7:$AL$1831,2,FALSE)=$AP14,"OK","@@")), "@@"))</f>
        <v/>
      </c>
      <c r="AR14" s="78"/>
      <c r="AS14" s="453"/>
      <c r="AT14" s="310" t="str">
        <f>IF($AS14="","", IF($AS14="세입없음", "OK",  IF(COUNTIF('3. 일입'!$AN$8:$AN$1831, $AS14), "OK", "@@")))</f>
        <v/>
      </c>
      <c r="AU14" s="296" t="str">
        <f t="shared" si="17"/>
        <v/>
      </c>
      <c r="AV14" s="310" t="str">
        <f t="shared" si="18"/>
        <v/>
      </c>
      <c r="AW14" s="78"/>
      <c r="AX14" s="290"/>
      <c r="AY14" s="28"/>
    </row>
    <row r="15" spans="1:51" s="19" customFormat="1" ht="80.099999999999994" customHeight="1">
      <c r="A15" s="115" t="str">
        <f>IF(D15="","",COUNTA($C$7:C15)-COUNTBLANK($C$7:C15)+11)</f>
        <v/>
      </c>
      <c r="B15" s="116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16" t="str">
        <f>IF(D15="","",IF(OR(D15="교육지원과",D15="총무과",D15="인사과"),"직접입력",VLOOKUP(D15,구분표!$A$3:$C$258,3,)))</f>
        <v/>
      </c>
      <c r="D15" s="167"/>
      <c r="E15" s="161"/>
      <c r="F15" s="323" t="str">
        <f t="shared" si="19"/>
        <v/>
      </c>
      <c r="G15" s="323" t="str">
        <f t="shared" si="19"/>
        <v/>
      </c>
      <c r="H15" s="161"/>
      <c r="I15" s="116" t="str">
        <f>IF(H15="","",VLOOKUP($H15,구분표!$K$3:$M$151,2,FALSE))</f>
        <v/>
      </c>
      <c r="J15" s="116" t="str">
        <f>IF(I15="","",VLOOKUP($H15,구분표!$K$3:$M$151,3,FALSE))</f>
        <v/>
      </c>
      <c r="K15" s="180"/>
      <c r="L15" s="180"/>
      <c r="M15" s="385" t="str">
        <f t="shared" si="20"/>
        <v/>
      </c>
      <c r="N15" s="385" t="str">
        <f t="shared" si="21"/>
        <v/>
      </c>
      <c r="O15" s="387" t="str">
        <f t="shared" si="3"/>
        <v/>
      </c>
      <c r="P15" s="386"/>
      <c r="Q15" s="387">
        <f t="shared" si="4"/>
        <v>0</v>
      </c>
      <c r="R15" s="388"/>
      <c r="S15" s="389">
        <f t="shared" si="5"/>
        <v>0</v>
      </c>
      <c r="T15" s="118" t="str">
        <f t="shared" si="6"/>
        <v>X</v>
      </c>
      <c r="U15" s="467"/>
      <c r="V15" s="274"/>
      <c r="W15" s="169"/>
      <c r="X15" s="171"/>
      <c r="Y15" s="277"/>
      <c r="Z15" s="277"/>
      <c r="AA15" s="28"/>
      <c r="AB15" s="412">
        <f t="shared" si="22"/>
        <v>0</v>
      </c>
      <c r="AC15" s="413">
        <f t="shared" si="7"/>
        <v>0</v>
      </c>
      <c r="AD15" s="413">
        <f t="shared" si="8"/>
        <v>0</v>
      </c>
      <c r="AE15" s="413">
        <f t="shared" si="9"/>
        <v>0</v>
      </c>
      <c r="AF15" s="310" t="str">
        <f t="shared" si="10"/>
        <v/>
      </c>
      <c r="AG15" s="78"/>
      <c r="AH15" s="414">
        <f t="shared" si="11"/>
        <v>0</v>
      </c>
      <c r="AI15" s="413">
        <f t="shared" si="12"/>
        <v>0</v>
      </c>
      <c r="AJ15" s="413">
        <f t="shared" si="13"/>
        <v>0</v>
      </c>
      <c r="AK15" s="413">
        <f t="shared" si="14"/>
        <v>0</v>
      </c>
      <c r="AL15" s="310" t="str">
        <f t="shared" si="15"/>
        <v/>
      </c>
      <c r="AM15" s="77"/>
      <c r="AN15" s="169"/>
      <c r="AO15" s="310" t="str">
        <f>IF($AP15="", "", IF($AN15="세입없음","OK", IF(OR($AP15="재원확인", $AN15=""),"@@", IF(COUNTIF('3. 일입'!$AK$8:$AK$1831, $AN15), "OK","@@"))))</f>
        <v/>
      </c>
      <c r="AP15" s="296" t="str">
        <f t="shared" si="16"/>
        <v/>
      </c>
      <c r="AQ15" s="310" t="str">
        <f>IF(AND($AN15="",$AP15=""),"",IF(AND($AN15&lt;&gt;"",$AP15&lt;&gt;""),IF(AN15="세입없음","OK",IF(VLOOKUP($AN15,'3. 일입'!$AK$7:$AL$1831,2,FALSE)=$AP15,"OK","@@")), "@@"))</f>
        <v/>
      </c>
      <c r="AR15" s="78"/>
      <c r="AS15" s="453"/>
      <c r="AT15" s="310" t="str">
        <f>IF($AS15="","", IF($AS15="세입없음", "OK",  IF(COUNTIF('3. 일입'!$AN$8:$AN$1831, $AS15), "OK", "@@")))</f>
        <v/>
      </c>
      <c r="AU15" s="296" t="str">
        <f t="shared" si="17"/>
        <v/>
      </c>
      <c r="AV15" s="310" t="str">
        <f t="shared" si="18"/>
        <v/>
      </c>
      <c r="AW15" s="78"/>
      <c r="AX15" s="290"/>
      <c r="AY15" s="28"/>
    </row>
    <row r="16" spans="1:51" s="19" customFormat="1" ht="80.099999999999994" customHeight="1">
      <c r="A16" s="115" t="str">
        <f>IF(D16="","",COUNTA($C$7:C16)-COUNTBLANK($C$7:C16)+11)</f>
        <v/>
      </c>
      <c r="B16" s="116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16" t="str">
        <f>IF(D16="","",IF(OR(D16="교육지원과",D16="총무과",D16="인사과"),"직접입력",VLOOKUP(D16,구분표!$A$3:$C$258,3,)))</f>
        <v/>
      </c>
      <c r="D16" s="167"/>
      <c r="E16" s="161"/>
      <c r="F16" s="323" t="str">
        <f t="shared" si="19"/>
        <v/>
      </c>
      <c r="G16" s="323" t="str">
        <f t="shared" si="19"/>
        <v/>
      </c>
      <c r="H16" s="161"/>
      <c r="I16" s="116" t="str">
        <f>IF(H16="","",VLOOKUP($H16,구분표!$K$3:$M$151,2,FALSE))</f>
        <v/>
      </c>
      <c r="J16" s="116" t="str">
        <f>IF(I16="","",VLOOKUP($H16,구분표!$K$3:$M$151,3,FALSE))</f>
        <v/>
      </c>
      <c r="K16" s="180"/>
      <c r="L16" s="180"/>
      <c r="M16" s="385" t="str">
        <f t="shared" si="20"/>
        <v/>
      </c>
      <c r="N16" s="385" t="str">
        <f t="shared" si="21"/>
        <v/>
      </c>
      <c r="O16" s="387" t="str">
        <f t="shared" si="3"/>
        <v/>
      </c>
      <c r="P16" s="386"/>
      <c r="Q16" s="387">
        <f t="shared" si="4"/>
        <v>0</v>
      </c>
      <c r="R16" s="388"/>
      <c r="S16" s="389">
        <f t="shared" si="5"/>
        <v>0</v>
      </c>
      <c r="T16" s="118" t="str">
        <f t="shared" si="6"/>
        <v>X</v>
      </c>
      <c r="U16" s="467"/>
      <c r="V16" s="274"/>
      <c r="W16" s="169"/>
      <c r="X16" s="171"/>
      <c r="Y16" s="277"/>
      <c r="Z16" s="277"/>
      <c r="AA16" s="28"/>
      <c r="AB16" s="412">
        <f t="shared" si="22"/>
        <v>0</v>
      </c>
      <c r="AC16" s="413">
        <f t="shared" si="7"/>
        <v>0</v>
      </c>
      <c r="AD16" s="413">
        <f t="shared" si="8"/>
        <v>0</v>
      </c>
      <c r="AE16" s="413">
        <f t="shared" si="9"/>
        <v>0</v>
      </c>
      <c r="AF16" s="310" t="str">
        <f t="shared" si="10"/>
        <v/>
      </c>
      <c r="AG16" s="78"/>
      <c r="AH16" s="414">
        <f t="shared" si="11"/>
        <v>0</v>
      </c>
      <c r="AI16" s="413">
        <f t="shared" si="12"/>
        <v>0</v>
      </c>
      <c r="AJ16" s="413">
        <f t="shared" si="13"/>
        <v>0</v>
      </c>
      <c r="AK16" s="413">
        <f t="shared" si="14"/>
        <v>0</v>
      </c>
      <c r="AL16" s="310" t="str">
        <f t="shared" si="15"/>
        <v/>
      </c>
      <c r="AM16" s="77"/>
      <c r="AN16" s="169"/>
      <c r="AO16" s="310" t="str">
        <f>IF($AP16="", "", IF($AN16="세입없음","OK", IF(OR($AP16="재원확인", $AN16=""),"@@", IF(COUNTIF('3. 일입'!$AK$8:$AK$1831, $AN16), "OK","@@"))))</f>
        <v/>
      </c>
      <c r="AP16" s="296" t="str">
        <f t="shared" si="16"/>
        <v/>
      </c>
      <c r="AQ16" s="310" t="str">
        <f>IF(AND($AN16="",$AP16=""),"",IF(AND($AN16&lt;&gt;"",$AP16&lt;&gt;""),IF(AN16="세입없음","OK",IF(VLOOKUP($AN16,'3. 일입'!$AK$7:$AL$1831,2,FALSE)=$AP16,"OK","@@")), "@@"))</f>
        <v/>
      </c>
      <c r="AR16" s="78"/>
      <c r="AS16" s="453"/>
      <c r="AT16" s="310" t="str">
        <f>IF($AS16="","", IF($AS16="세입없음", "OK",  IF(COUNTIF('3. 일입'!$AN$8:$AN$1831, $AS16), "OK", "@@")))</f>
        <v/>
      </c>
      <c r="AU16" s="296" t="str">
        <f t="shared" si="17"/>
        <v/>
      </c>
      <c r="AV16" s="310" t="str">
        <f t="shared" si="18"/>
        <v/>
      </c>
      <c r="AW16" s="78"/>
      <c r="AX16" s="290"/>
      <c r="AY16" s="28"/>
    </row>
    <row r="17" spans="1:51" s="19" customFormat="1" ht="80.099999999999994" customHeight="1">
      <c r="A17" s="115" t="str">
        <f>IF(D17="","",COUNTA($C$7:C17)-COUNTBLANK($C$7:C17)+11)</f>
        <v/>
      </c>
      <c r="B17" s="116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16" t="str">
        <f>IF(D17="","",IF(OR(D17="교육지원과",D17="총무과",D17="인사과"),"직접입력",VLOOKUP(D17,구분표!$A$3:$C$258,3,)))</f>
        <v/>
      </c>
      <c r="D17" s="167"/>
      <c r="E17" s="161"/>
      <c r="F17" s="323" t="str">
        <f t="shared" si="19"/>
        <v/>
      </c>
      <c r="G17" s="323" t="str">
        <f t="shared" si="19"/>
        <v/>
      </c>
      <c r="H17" s="161"/>
      <c r="I17" s="116" t="str">
        <f>IF(H17="","",VLOOKUP($H17,구분표!$K$3:$M$151,2,FALSE))</f>
        <v/>
      </c>
      <c r="J17" s="116" t="str">
        <f>IF(I17="","",VLOOKUP($H17,구분표!$K$3:$M$151,3,FALSE))</f>
        <v/>
      </c>
      <c r="K17" s="180"/>
      <c r="L17" s="180"/>
      <c r="M17" s="385" t="str">
        <f t="shared" si="20"/>
        <v/>
      </c>
      <c r="N17" s="385" t="str">
        <f t="shared" si="21"/>
        <v/>
      </c>
      <c r="O17" s="387" t="str">
        <f t="shared" si="3"/>
        <v/>
      </c>
      <c r="P17" s="386"/>
      <c r="Q17" s="387">
        <f t="shared" si="4"/>
        <v>0</v>
      </c>
      <c r="R17" s="388"/>
      <c r="S17" s="389">
        <f t="shared" si="5"/>
        <v>0</v>
      </c>
      <c r="T17" s="118" t="str">
        <f t="shared" si="6"/>
        <v>X</v>
      </c>
      <c r="U17" s="467"/>
      <c r="V17" s="274"/>
      <c r="W17" s="169"/>
      <c r="X17" s="171"/>
      <c r="Y17" s="277"/>
      <c r="Z17" s="277"/>
      <c r="AA17" s="28"/>
      <c r="AB17" s="412">
        <f t="shared" si="22"/>
        <v>0</v>
      </c>
      <c r="AC17" s="413">
        <f t="shared" si="7"/>
        <v>0</v>
      </c>
      <c r="AD17" s="413">
        <f t="shared" si="8"/>
        <v>0</v>
      </c>
      <c r="AE17" s="413">
        <f t="shared" si="9"/>
        <v>0</v>
      </c>
      <c r="AF17" s="310" t="str">
        <f t="shared" si="10"/>
        <v/>
      </c>
      <c r="AG17" s="78"/>
      <c r="AH17" s="414">
        <f t="shared" si="11"/>
        <v>0</v>
      </c>
      <c r="AI17" s="413">
        <f t="shared" si="12"/>
        <v>0</v>
      </c>
      <c r="AJ17" s="413">
        <f t="shared" si="13"/>
        <v>0</v>
      </c>
      <c r="AK17" s="413">
        <f t="shared" si="14"/>
        <v>0</v>
      </c>
      <c r="AL17" s="310" t="str">
        <f t="shared" si="15"/>
        <v/>
      </c>
      <c r="AM17" s="77"/>
      <c r="AN17" s="169"/>
      <c r="AO17" s="310" t="str">
        <f>IF($AP17="", "", IF($AN17="세입없음","OK", IF(OR($AP17="재원확인", $AN17=""),"@@", IF(COUNTIF('3. 일입'!$AK$8:$AK$1831, $AN17), "OK","@@"))))</f>
        <v/>
      </c>
      <c r="AP17" s="296" t="str">
        <f t="shared" si="16"/>
        <v/>
      </c>
      <c r="AQ17" s="310" t="str">
        <f>IF(AND($AN17="",$AP17=""),"",IF(AND($AN17&lt;&gt;"",$AP17&lt;&gt;""),IF(AN17="세입없음","OK",IF(VLOOKUP($AN17,'3. 일입'!$AK$7:$AL$1831,2,FALSE)=$AP17,"OK","@@")), "@@"))</f>
        <v/>
      </c>
      <c r="AR17" s="78"/>
      <c r="AS17" s="453"/>
      <c r="AT17" s="310" t="str">
        <f>IF($AS17="","", IF($AS17="세입없음", "OK",  IF(COUNTIF('3. 일입'!$AN$8:$AN$1831, $AS17), "OK", "@@")))</f>
        <v/>
      </c>
      <c r="AU17" s="296" t="str">
        <f t="shared" si="17"/>
        <v/>
      </c>
      <c r="AV17" s="310" t="str">
        <f t="shared" si="18"/>
        <v/>
      </c>
      <c r="AW17" s="78"/>
      <c r="AX17" s="290"/>
      <c r="AY17" s="28"/>
    </row>
    <row r="18" spans="1:51" s="19" customFormat="1" ht="80.099999999999994" customHeight="1">
      <c r="A18" s="115" t="str">
        <f>IF(D18="","",COUNTA($C$7:C18)-COUNTBLANK($C$7:C18)+11)</f>
        <v/>
      </c>
      <c r="B18" s="116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16" t="str">
        <f>IF(D18="","",IF(OR(D18="교육지원과",D18="총무과",D18="인사과"),"직접입력",VLOOKUP(D18,구분표!$A$3:$C$258,3,)))</f>
        <v/>
      </c>
      <c r="D18" s="167"/>
      <c r="E18" s="161"/>
      <c r="F18" s="323" t="str">
        <f t="shared" si="19"/>
        <v/>
      </c>
      <c r="G18" s="323" t="str">
        <f t="shared" si="19"/>
        <v/>
      </c>
      <c r="H18" s="161"/>
      <c r="I18" s="116" t="str">
        <f>IF(H18="","",VLOOKUP($H18,구분표!$K$3:$M$151,2,FALSE))</f>
        <v/>
      </c>
      <c r="J18" s="116" t="str">
        <f>IF(I18="","",VLOOKUP($H18,구분표!$K$3:$M$151,3,FALSE))</f>
        <v/>
      </c>
      <c r="K18" s="180"/>
      <c r="L18" s="180"/>
      <c r="M18" s="385" t="str">
        <f t="shared" si="20"/>
        <v/>
      </c>
      <c r="N18" s="385" t="str">
        <f t="shared" si="21"/>
        <v/>
      </c>
      <c r="O18" s="387" t="str">
        <f t="shared" si="3"/>
        <v/>
      </c>
      <c r="P18" s="386"/>
      <c r="Q18" s="387">
        <f t="shared" si="4"/>
        <v>0</v>
      </c>
      <c r="R18" s="388"/>
      <c r="S18" s="389">
        <f t="shared" si="5"/>
        <v>0</v>
      </c>
      <c r="T18" s="118" t="str">
        <f t="shared" si="6"/>
        <v>X</v>
      </c>
      <c r="U18" s="467"/>
      <c r="V18" s="274"/>
      <c r="W18" s="169"/>
      <c r="X18" s="171"/>
      <c r="Y18" s="277"/>
      <c r="Z18" s="277"/>
      <c r="AA18" s="28"/>
      <c r="AB18" s="412">
        <f t="shared" si="22"/>
        <v>0</v>
      </c>
      <c r="AC18" s="413">
        <f t="shared" si="7"/>
        <v>0</v>
      </c>
      <c r="AD18" s="413">
        <f t="shared" si="8"/>
        <v>0</v>
      </c>
      <c r="AE18" s="413">
        <f t="shared" si="9"/>
        <v>0</v>
      </c>
      <c r="AF18" s="310" t="str">
        <f t="shared" si="10"/>
        <v/>
      </c>
      <c r="AG18" s="78"/>
      <c r="AH18" s="414">
        <f t="shared" si="11"/>
        <v>0</v>
      </c>
      <c r="AI18" s="413">
        <f t="shared" si="12"/>
        <v>0</v>
      </c>
      <c r="AJ18" s="413">
        <f t="shared" si="13"/>
        <v>0</v>
      </c>
      <c r="AK18" s="413">
        <f t="shared" si="14"/>
        <v>0</v>
      </c>
      <c r="AL18" s="310" t="str">
        <f t="shared" si="15"/>
        <v/>
      </c>
      <c r="AM18" s="77"/>
      <c r="AN18" s="169"/>
      <c r="AO18" s="310" t="str">
        <f>IF($AP18="", "", IF($AN18="세입없음","OK", IF(OR($AP18="재원확인", $AN18=""),"@@", IF(COUNTIF('3. 일입'!$AK$8:$AK$1831, $AN18), "OK","@@"))))</f>
        <v/>
      </c>
      <c r="AP18" s="296" t="str">
        <f t="shared" si="16"/>
        <v/>
      </c>
      <c r="AQ18" s="310" t="str">
        <f>IF(AND($AN18="",$AP18=""),"",IF(AND($AN18&lt;&gt;"",$AP18&lt;&gt;""),IF(AN18="세입없음","OK",IF(VLOOKUP($AN18,'3. 일입'!$AK$7:$AL$1831,2,FALSE)=$AP18,"OK","@@")), "@@"))</f>
        <v/>
      </c>
      <c r="AR18" s="78"/>
      <c r="AS18" s="453"/>
      <c r="AT18" s="310" t="str">
        <f>IF($AS18="","", IF($AS18="세입없음", "OK",  IF(COUNTIF('3. 일입'!$AN$8:$AN$1831, $AS18), "OK", "@@")))</f>
        <v/>
      </c>
      <c r="AU18" s="296" t="str">
        <f t="shared" si="17"/>
        <v/>
      </c>
      <c r="AV18" s="310" t="str">
        <f t="shared" si="18"/>
        <v/>
      </c>
      <c r="AW18" s="78"/>
      <c r="AX18" s="290"/>
      <c r="AY18" s="28"/>
    </row>
    <row r="19" spans="1:51" s="19" customFormat="1" ht="80.099999999999994" customHeight="1">
      <c r="A19" s="115" t="str">
        <f>IF(D19="","",COUNTA($C$7:C19)-COUNTBLANK($C$7:C19)+11)</f>
        <v/>
      </c>
      <c r="B19" s="116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16" t="str">
        <f>IF(D19="","",IF(OR(D19="교육지원과",D19="총무과",D19="인사과"),"직접입력",VLOOKUP(D19,구분표!$A$3:$C$258,3,)))</f>
        <v/>
      </c>
      <c r="D19" s="167"/>
      <c r="E19" s="161"/>
      <c r="F19" s="323" t="str">
        <f t="shared" si="19"/>
        <v/>
      </c>
      <c r="G19" s="323" t="str">
        <f t="shared" si="19"/>
        <v/>
      </c>
      <c r="H19" s="161"/>
      <c r="I19" s="116" t="str">
        <f>IF(H19="","",VLOOKUP($H19,구분표!$K$3:$M$151,2,FALSE))</f>
        <v/>
      </c>
      <c r="J19" s="116" t="str">
        <f>IF(I19="","",VLOOKUP($H19,구분표!$K$3:$M$151,3,FALSE))</f>
        <v/>
      </c>
      <c r="K19" s="180"/>
      <c r="L19" s="180"/>
      <c r="M19" s="385" t="str">
        <f t="shared" si="20"/>
        <v/>
      </c>
      <c r="N19" s="385" t="str">
        <f t="shared" si="21"/>
        <v/>
      </c>
      <c r="O19" s="387" t="str">
        <f t="shared" si="3"/>
        <v/>
      </c>
      <c r="P19" s="386"/>
      <c r="Q19" s="387">
        <f t="shared" si="4"/>
        <v>0</v>
      </c>
      <c r="R19" s="388"/>
      <c r="S19" s="389">
        <f t="shared" si="5"/>
        <v>0</v>
      </c>
      <c r="T19" s="118" t="str">
        <f t="shared" si="6"/>
        <v>X</v>
      </c>
      <c r="U19" s="467"/>
      <c r="V19" s="274"/>
      <c r="W19" s="169"/>
      <c r="X19" s="171"/>
      <c r="Y19" s="277"/>
      <c r="Z19" s="277"/>
      <c r="AA19" s="28"/>
      <c r="AB19" s="412">
        <f t="shared" si="22"/>
        <v>0</v>
      </c>
      <c r="AC19" s="413">
        <f t="shared" si="7"/>
        <v>0</v>
      </c>
      <c r="AD19" s="413">
        <f t="shared" si="8"/>
        <v>0</v>
      </c>
      <c r="AE19" s="413">
        <f t="shared" si="9"/>
        <v>0</v>
      </c>
      <c r="AF19" s="310" t="str">
        <f t="shared" si="10"/>
        <v/>
      </c>
      <c r="AG19" s="78"/>
      <c r="AH19" s="414">
        <f t="shared" si="11"/>
        <v>0</v>
      </c>
      <c r="AI19" s="413">
        <f t="shared" si="12"/>
        <v>0</v>
      </c>
      <c r="AJ19" s="413">
        <f t="shared" si="13"/>
        <v>0</v>
      </c>
      <c r="AK19" s="413">
        <f t="shared" si="14"/>
        <v>0</v>
      </c>
      <c r="AL19" s="310" t="str">
        <f t="shared" si="15"/>
        <v/>
      </c>
      <c r="AM19" s="77"/>
      <c r="AN19" s="169"/>
      <c r="AO19" s="310" t="str">
        <f>IF($AP19="", "", IF($AN19="세입없음","OK", IF(OR($AP19="재원확인", $AN19=""),"@@", IF(COUNTIF('3. 일입'!$AK$8:$AK$1831, $AN19), "OK","@@"))))</f>
        <v/>
      </c>
      <c r="AP19" s="296" t="str">
        <f t="shared" si="16"/>
        <v/>
      </c>
      <c r="AQ19" s="310" t="str">
        <f>IF(AND($AN19="",$AP19=""),"",IF(AND($AN19&lt;&gt;"",$AP19&lt;&gt;""),IF(AN19="세입없음","OK",IF(VLOOKUP($AN19,'3. 일입'!$AK$7:$AL$1831,2,FALSE)=$AP19,"OK","@@")), "@@"))</f>
        <v/>
      </c>
      <c r="AR19" s="78"/>
      <c r="AS19" s="453"/>
      <c r="AT19" s="310" t="str">
        <f>IF($AS19="","", IF($AS19="세입없음", "OK",  IF(COUNTIF('3. 일입'!$AN$8:$AN$1831, $AS19), "OK", "@@")))</f>
        <v/>
      </c>
      <c r="AU19" s="296" t="str">
        <f t="shared" si="17"/>
        <v/>
      </c>
      <c r="AV19" s="310" t="str">
        <f t="shared" si="18"/>
        <v/>
      </c>
      <c r="AW19" s="78"/>
      <c r="AX19" s="290"/>
      <c r="AY19" s="28"/>
    </row>
    <row r="20" spans="1:51" s="19" customFormat="1" ht="80.099999999999994" customHeight="1">
      <c r="A20" s="115" t="str">
        <f>IF(D20="","",COUNTA($C$7:C20)-COUNTBLANK($C$7:C20)+11)</f>
        <v/>
      </c>
      <c r="B20" s="116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16" t="str">
        <f>IF(D20="","",IF(OR(D20="교육지원과",D20="총무과",D20="인사과"),"직접입력",VLOOKUP(D20,구분표!$A$3:$C$258,3,)))</f>
        <v/>
      </c>
      <c r="D20" s="167"/>
      <c r="E20" s="161"/>
      <c r="F20" s="323" t="str">
        <f t="shared" si="19"/>
        <v/>
      </c>
      <c r="G20" s="323" t="str">
        <f t="shared" si="19"/>
        <v/>
      </c>
      <c r="H20" s="161"/>
      <c r="I20" s="116" t="str">
        <f>IF(H20="","",VLOOKUP($H20,구분표!$K$3:$M$151,2,FALSE))</f>
        <v/>
      </c>
      <c r="J20" s="116" t="str">
        <f>IF(I20="","",VLOOKUP($H20,구분표!$K$3:$M$151,3,FALSE))</f>
        <v/>
      </c>
      <c r="K20" s="180"/>
      <c r="L20" s="180"/>
      <c r="M20" s="385" t="str">
        <f t="shared" si="20"/>
        <v/>
      </c>
      <c r="N20" s="385" t="str">
        <f t="shared" si="21"/>
        <v/>
      </c>
      <c r="O20" s="387" t="str">
        <f t="shared" si="3"/>
        <v/>
      </c>
      <c r="P20" s="386"/>
      <c r="Q20" s="387">
        <f t="shared" si="4"/>
        <v>0</v>
      </c>
      <c r="R20" s="388"/>
      <c r="S20" s="389">
        <f t="shared" si="5"/>
        <v>0</v>
      </c>
      <c r="T20" s="118" t="str">
        <f t="shared" si="6"/>
        <v>X</v>
      </c>
      <c r="U20" s="467"/>
      <c r="V20" s="274"/>
      <c r="W20" s="169"/>
      <c r="X20" s="171"/>
      <c r="Y20" s="277"/>
      <c r="Z20" s="277"/>
      <c r="AA20" s="28"/>
      <c r="AB20" s="412">
        <f t="shared" si="22"/>
        <v>0</v>
      </c>
      <c r="AC20" s="413">
        <f t="shared" si="7"/>
        <v>0</v>
      </c>
      <c r="AD20" s="413">
        <f t="shared" si="8"/>
        <v>0</v>
      </c>
      <c r="AE20" s="413">
        <f t="shared" si="9"/>
        <v>0</v>
      </c>
      <c r="AF20" s="310" t="str">
        <f t="shared" si="10"/>
        <v/>
      </c>
      <c r="AG20" s="78"/>
      <c r="AH20" s="414">
        <f t="shared" si="11"/>
        <v>0</v>
      </c>
      <c r="AI20" s="413">
        <f t="shared" si="12"/>
        <v>0</v>
      </c>
      <c r="AJ20" s="413">
        <f t="shared" si="13"/>
        <v>0</v>
      </c>
      <c r="AK20" s="413">
        <f t="shared" si="14"/>
        <v>0</v>
      </c>
      <c r="AL20" s="310" t="str">
        <f t="shared" si="15"/>
        <v/>
      </c>
      <c r="AM20" s="77"/>
      <c r="AN20" s="169"/>
      <c r="AO20" s="310" t="str">
        <f>IF($AP20="", "", IF($AN20="세입없음","OK", IF(OR($AP20="재원확인", $AN20=""),"@@", IF(COUNTIF('3. 일입'!$AK$8:$AK$1831, $AN20), "OK","@@"))))</f>
        <v/>
      </c>
      <c r="AP20" s="296" t="str">
        <f t="shared" si="16"/>
        <v/>
      </c>
      <c r="AQ20" s="310" t="str">
        <f>IF(AND($AN20="",$AP20=""),"",IF(AND($AN20&lt;&gt;"",$AP20&lt;&gt;""),IF(AN20="세입없음","OK",IF(VLOOKUP($AN20,'3. 일입'!$AK$7:$AL$1831,2,FALSE)=$AP20,"OK","@@")), "@@"))</f>
        <v/>
      </c>
      <c r="AR20" s="78"/>
      <c r="AS20" s="453"/>
      <c r="AT20" s="310" t="str">
        <f>IF($AS20="","", IF($AS20="세입없음", "OK",  IF(COUNTIF('3. 일입'!$AN$8:$AN$1831, $AS20), "OK", "@@")))</f>
        <v/>
      </c>
      <c r="AU20" s="296" t="str">
        <f t="shared" si="17"/>
        <v/>
      </c>
      <c r="AV20" s="310" t="str">
        <f t="shared" si="18"/>
        <v/>
      </c>
      <c r="AW20" s="78"/>
      <c r="AX20" s="290"/>
      <c r="AY20" s="28"/>
    </row>
    <row r="21" spans="1:51" s="19" customFormat="1" ht="80.099999999999994" customHeight="1">
      <c r="A21" s="115" t="str">
        <f>IF(D21="","",COUNTA($C$7:C21)-COUNTBLANK($C$7:C21)+11)</f>
        <v/>
      </c>
      <c r="B21" s="116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16" t="str">
        <f>IF(D21="","",IF(OR(D21="교육지원과",D21="총무과",D21="인사과"),"직접입력",VLOOKUP(D21,구분표!$A$3:$C$258,3,)))</f>
        <v/>
      </c>
      <c r="D21" s="167"/>
      <c r="E21" s="161"/>
      <c r="F21" s="323" t="str">
        <f t="shared" si="19"/>
        <v/>
      </c>
      <c r="G21" s="323" t="str">
        <f t="shared" si="19"/>
        <v/>
      </c>
      <c r="H21" s="161"/>
      <c r="I21" s="116" t="str">
        <f>IF(H21="","",VLOOKUP($H21,구분표!$K$3:$M$151,2,FALSE))</f>
        <v/>
      </c>
      <c r="J21" s="116" t="str">
        <f>IF(I21="","",VLOOKUP($H21,구분표!$K$3:$M$151,3,FALSE))</f>
        <v/>
      </c>
      <c r="K21" s="180"/>
      <c r="L21" s="180"/>
      <c r="M21" s="385" t="str">
        <f t="shared" si="20"/>
        <v/>
      </c>
      <c r="N21" s="385" t="str">
        <f t="shared" si="21"/>
        <v/>
      </c>
      <c r="O21" s="387" t="str">
        <f t="shared" si="3"/>
        <v/>
      </c>
      <c r="P21" s="386"/>
      <c r="Q21" s="387">
        <f t="shared" si="4"/>
        <v>0</v>
      </c>
      <c r="R21" s="388"/>
      <c r="S21" s="389">
        <f t="shared" si="5"/>
        <v>0</v>
      </c>
      <c r="T21" s="118" t="str">
        <f t="shared" si="6"/>
        <v>X</v>
      </c>
      <c r="U21" s="467"/>
      <c r="V21" s="274"/>
      <c r="W21" s="169"/>
      <c r="X21" s="171"/>
      <c r="Y21" s="277"/>
      <c r="Z21" s="277"/>
      <c r="AA21" s="28"/>
      <c r="AB21" s="412">
        <f t="shared" si="22"/>
        <v>0</v>
      </c>
      <c r="AC21" s="413">
        <f t="shared" si="7"/>
        <v>0</v>
      </c>
      <c r="AD21" s="413">
        <f t="shared" si="8"/>
        <v>0</v>
      </c>
      <c r="AE21" s="413">
        <f t="shared" si="9"/>
        <v>0</v>
      </c>
      <c r="AF21" s="310" t="str">
        <f t="shared" si="10"/>
        <v/>
      </c>
      <c r="AG21" s="78"/>
      <c r="AH21" s="414">
        <f t="shared" si="11"/>
        <v>0</v>
      </c>
      <c r="AI21" s="413">
        <f t="shared" si="12"/>
        <v>0</v>
      </c>
      <c r="AJ21" s="413">
        <f t="shared" si="13"/>
        <v>0</v>
      </c>
      <c r="AK21" s="413">
        <f t="shared" si="14"/>
        <v>0</v>
      </c>
      <c r="AL21" s="310" t="str">
        <f t="shared" si="15"/>
        <v/>
      </c>
      <c r="AM21" s="77"/>
      <c r="AN21" s="169"/>
      <c r="AO21" s="310" t="str">
        <f>IF($AP21="", "", IF($AN21="세입없음","OK", IF(OR($AP21="재원확인", $AN21=""),"@@", IF(COUNTIF('3. 일입'!$AK$8:$AK$1831, $AN21), "OK","@@"))))</f>
        <v/>
      </c>
      <c r="AP21" s="296" t="str">
        <f t="shared" si="16"/>
        <v/>
      </c>
      <c r="AQ21" s="310" t="str">
        <f>IF(AND($AN21="",$AP21=""),"",IF(AND($AN21&lt;&gt;"",$AP21&lt;&gt;""),IF(AN21="세입없음","OK",IF(VLOOKUP($AN21,'3. 일입'!$AK$7:$AL$1831,2,FALSE)=$AP21,"OK","@@")), "@@"))</f>
        <v/>
      </c>
      <c r="AR21" s="78"/>
      <c r="AS21" s="453"/>
      <c r="AT21" s="310" t="str">
        <f>IF($AS21="","", IF($AS21="세입없음", "OK",  IF(COUNTIF('3. 일입'!$AN$8:$AN$1831, $AS21), "OK", "@@")))</f>
        <v/>
      </c>
      <c r="AU21" s="296" t="str">
        <f t="shared" si="17"/>
        <v/>
      </c>
      <c r="AV21" s="310" t="str">
        <f t="shared" si="18"/>
        <v/>
      </c>
      <c r="AW21" s="78"/>
      <c r="AX21" s="290"/>
      <c r="AY21" s="28"/>
    </row>
    <row r="22" spans="1:51" s="19" customFormat="1" ht="80.099999999999994" customHeight="1">
      <c r="A22" s="115" t="str">
        <f>IF(D22="","",COUNTA($C$7:C22)-COUNTBLANK($C$7:C22)+11)</f>
        <v/>
      </c>
      <c r="B22" s="116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16" t="str">
        <f>IF(D22="","",IF(OR(D22="교육지원과",D22="총무과",D22="인사과"),"직접입력",VLOOKUP(D22,구분표!$A$3:$C$258,3,)))</f>
        <v/>
      </c>
      <c r="D22" s="167"/>
      <c r="E22" s="161"/>
      <c r="F22" s="323" t="str">
        <f t="shared" si="19"/>
        <v/>
      </c>
      <c r="G22" s="323" t="str">
        <f t="shared" si="19"/>
        <v/>
      </c>
      <c r="H22" s="161"/>
      <c r="I22" s="116" t="str">
        <f>IF(H22="","",VLOOKUP($H22,구분표!$K$3:$M$151,2,FALSE))</f>
        <v/>
      </c>
      <c r="J22" s="116" t="str">
        <f>IF(I22="","",VLOOKUP($H22,구분표!$K$3:$M$151,3,FALSE))</f>
        <v/>
      </c>
      <c r="K22" s="180"/>
      <c r="L22" s="180"/>
      <c r="M22" s="385" t="str">
        <f t="shared" si="20"/>
        <v/>
      </c>
      <c r="N22" s="385" t="str">
        <f t="shared" si="21"/>
        <v/>
      </c>
      <c r="O22" s="387" t="str">
        <f t="shared" si="3"/>
        <v/>
      </c>
      <c r="P22" s="386"/>
      <c r="Q22" s="387">
        <f t="shared" si="4"/>
        <v>0</v>
      </c>
      <c r="R22" s="388"/>
      <c r="S22" s="389">
        <f t="shared" si="5"/>
        <v>0</v>
      </c>
      <c r="T22" s="118" t="str">
        <f t="shared" si="6"/>
        <v>X</v>
      </c>
      <c r="U22" s="467"/>
      <c r="V22" s="274"/>
      <c r="W22" s="169"/>
      <c r="X22" s="171"/>
      <c r="Y22" s="277"/>
      <c r="Z22" s="277"/>
      <c r="AA22" s="28"/>
      <c r="AB22" s="412">
        <f t="shared" si="22"/>
        <v>0</v>
      </c>
      <c r="AC22" s="413">
        <f t="shared" si="7"/>
        <v>0</v>
      </c>
      <c r="AD22" s="413">
        <f t="shared" si="8"/>
        <v>0</v>
      </c>
      <c r="AE22" s="413">
        <f t="shared" si="9"/>
        <v>0</v>
      </c>
      <c r="AF22" s="310" t="str">
        <f t="shared" si="10"/>
        <v/>
      </c>
      <c r="AG22" s="78"/>
      <c r="AH22" s="414">
        <f t="shared" si="11"/>
        <v>0</v>
      </c>
      <c r="AI22" s="413">
        <f t="shared" si="12"/>
        <v>0</v>
      </c>
      <c r="AJ22" s="413">
        <f t="shared" si="13"/>
        <v>0</v>
      </c>
      <c r="AK22" s="413">
        <f t="shared" si="14"/>
        <v>0</v>
      </c>
      <c r="AL22" s="310" t="str">
        <f t="shared" si="15"/>
        <v/>
      </c>
      <c r="AM22" s="77"/>
      <c r="AN22" s="169"/>
      <c r="AO22" s="310" t="str">
        <f>IF($AP22="", "", IF($AN22="세입없음","OK", IF(OR($AP22="재원확인", $AN22=""),"@@", IF(COUNTIF('3. 일입'!$AK$8:$AK$1831, $AN22), "OK","@@"))))</f>
        <v/>
      </c>
      <c r="AP22" s="296" t="str">
        <f t="shared" si="16"/>
        <v/>
      </c>
      <c r="AQ22" s="310" t="str">
        <f>IF(AND($AN22="",$AP22=""),"",IF(AND($AN22&lt;&gt;"",$AP22&lt;&gt;""),IF(AN22="세입없음","OK",IF(VLOOKUP($AN22,'3. 일입'!$AK$7:$AL$1831,2,FALSE)=$AP22,"OK","@@")), "@@"))</f>
        <v/>
      </c>
      <c r="AR22" s="78"/>
      <c r="AS22" s="453"/>
      <c r="AT22" s="310" t="str">
        <f>IF($AS22="","", IF($AS22="세입없음", "OK",  IF(COUNTIF('3. 일입'!$AN$8:$AN$1831, $AS22), "OK", "@@")))</f>
        <v/>
      </c>
      <c r="AU22" s="296" t="str">
        <f t="shared" si="17"/>
        <v/>
      </c>
      <c r="AV22" s="310" t="str">
        <f t="shared" si="18"/>
        <v/>
      </c>
      <c r="AW22" s="78"/>
      <c r="AX22" s="290"/>
      <c r="AY22" s="28"/>
    </row>
    <row r="27" spans="1:51" ht="50.1" customHeight="1">
      <c r="AI27" s="335"/>
    </row>
  </sheetData>
  <sheetProtection formatCells="0" autoFilter="0"/>
  <autoFilter ref="A6:AY22" xr:uid="{56751472-C9C8-4D86-9914-E43DA01ACD76}"/>
  <mergeCells count="53">
    <mergeCell ref="AN1:AQ1"/>
    <mergeCell ref="AS1:AV1"/>
    <mergeCell ref="B7:G7"/>
    <mergeCell ref="X3:X5"/>
    <mergeCell ref="Q3:Q5"/>
    <mergeCell ref="S3:S5"/>
    <mergeCell ref="T3:T5"/>
    <mergeCell ref="H3:H5"/>
    <mergeCell ref="L3:L5"/>
    <mergeCell ref="J3:J5"/>
    <mergeCell ref="P3:P5"/>
    <mergeCell ref="AF4:AF5"/>
    <mergeCell ref="AH4:AH5"/>
    <mergeCell ref="K3:K5"/>
    <mergeCell ref="R3:R5"/>
    <mergeCell ref="Z3:Z5"/>
    <mergeCell ref="AX3:AX5"/>
    <mergeCell ref="AL4:AL5"/>
    <mergeCell ref="AN3:AQ3"/>
    <mergeCell ref="AS3:AV3"/>
    <mergeCell ref="AU4:AU5"/>
    <mergeCell ref="AV4:AV5"/>
    <mergeCell ref="AS4:AS5"/>
    <mergeCell ref="AT4:AT5"/>
    <mergeCell ref="AN4:AN5"/>
    <mergeCell ref="AO4:AO5"/>
    <mergeCell ref="AP4:AP5"/>
    <mergeCell ref="AQ4:AQ5"/>
    <mergeCell ref="AH3:AL3"/>
    <mergeCell ref="AI4:AK4"/>
    <mergeCell ref="AH1:AK1"/>
    <mergeCell ref="AB1:AE1"/>
    <mergeCell ref="A1:Z1"/>
    <mergeCell ref="B2:L2"/>
    <mergeCell ref="A3:A5"/>
    <mergeCell ref="B3:B5"/>
    <mergeCell ref="C3:C5"/>
    <mergeCell ref="D3:D5"/>
    <mergeCell ref="E3:E5"/>
    <mergeCell ref="F3:F5"/>
    <mergeCell ref="G3:G5"/>
    <mergeCell ref="O3:O5"/>
    <mergeCell ref="Y3:Y5"/>
    <mergeCell ref="M3:M5"/>
    <mergeCell ref="AB3:AF3"/>
    <mergeCell ref="U3:U5"/>
    <mergeCell ref="Y2:Z2"/>
    <mergeCell ref="N3:N5"/>
    <mergeCell ref="I3:I5"/>
    <mergeCell ref="AB4:AB5"/>
    <mergeCell ref="AC4:AE4"/>
    <mergeCell ref="V3:V5"/>
    <mergeCell ref="W3:W5"/>
  </mergeCells>
  <phoneticPr fontId="1" type="noConversion"/>
  <conditionalFormatting sqref="F1:G2 F6:G6 F23:G1048576">
    <cfRule type="containsText" dxfId="238" priority="3188" operator="containsText" text="직접입력">
      <formula>NOT(ISERROR(SEARCH("직접입력",F1)))</formula>
    </cfRule>
  </conditionalFormatting>
  <conditionalFormatting sqref="O1:O2 O23:O1048576 M6:O6">
    <cfRule type="containsText" dxfId="237" priority="3187" operator="containsText" text="금액입력">
      <formula>NOT(ISERROR(SEARCH("금액입력",M1)))</formula>
    </cfRule>
  </conditionalFormatting>
  <conditionalFormatting sqref="K1:K6 K8:K1048576">
    <cfRule type="containsText" dxfId="236" priority="3186" operator="containsText" text="세부사업명 입력">
      <formula>NOT(ISERROR(SEARCH("세부사업명 입력",K1)))</formula>
    </cfRule>
  </conditionalFormatting>
  <conditionalFormatting sqref="L1:N2 L23:N1048576 L3:L6 L8:L22">
    <cfRule type="containsText" dxfId="235" priority="3185" operator="containsText" text="부기명 입력">
      <formula>NOT(ISERROR(SEARCH("부기명 입력",L1)))</formula>
    </cfRule>
  </conditionalFormatting>
  <conditionalFormatting sqref="AD8:AD1829">
    <cfRule type="expression" dxfId="234" priority="3184">
      <formula>FIND("(지방채)",$L8)&gt;0</formula>
    </cfRule>
  </conditionalFormatting>
  <conditionalFormatting sqref="AJ8:AJ1829">
    <cfRule type="expression" dxfId="233" priority="3183">
      <formula>FIND("(지방채)",$L8)&gt;0</formula>
    </cfRule>
  </conditionalFormatting>
  <conditionalFormatting sqref="AS8:AS1829">
    <cfRule type="expression" dxfId="232" priority="3179">
      <formula>FIND("(지역개발기금)",$L8)&gt;0</formula>
    </cfRule>
    <cfRule type="expression" dxfId="231" priority="3182">
      <formula>FIND("(지방채)",$L8)&gt;0</formula>
    </cfRule>
  </conditionalFormatting>
  <conditionalFormatting sqref="AE8:AE1829">
    <cfRule type="expression" dxfId="230" priority="3181">
      <formula>FIND("(지역개발기금)",$L8)&gt;0</formula>
    </cfRule>
  </conditionalFormatting>
  <conditionalFormatting sqref="AK8:AK1829">
    <cfRule type="expression" dxfId="229" priority="3180">
      <formula>FIND("(지역개발기금)",$L8)&gt;0</formula>
    </cfRule>
  </conditionalFormatting>
  <conditionalFormatting sqref="AC23:AC1048576 AC1:AC5">
    <cfRule type="containsText" dxfId="228" priority="3178" operator="containsText" text="국비입력필요">
      <formula>NOT(ISERROR(SEARCH("국비입력필요",AC1)))</formula>
    </cfRule>
  </conditionalFormatting>
  <conditionalFormatting sqref="AC23:AC1048576 AC1:AC5 AI1:AI5 AI28:AI1048576 AI8:AI26">
    <cfRule type="containsText" dxfId="227" priority="3177" operator="containsText" text="입력필요">
      <formula>NOT(ISERROR(SEARCH("입력필요",AC1)))</formula>
    </cfRule>
  </conditionalFormatting>
  <conditionalFormatting sqref="O8:O22">
    <cfRule type="containsText" dxfId="226" priority="2825" operator="containsText" text="금액입력">
      <formula>NOT(ISERROR(SEARCH("금액입력",O8)))</formula>
    </cfRule>
  </conditionalFormatting>
  <conditionalFormatting sqref="K7">
    <cfRule type="containsText" dxfId="225" priority="2692" operator="containsText" text="세부사업명 입력">
      <formula>NOT(ISERROR(SEARCH("세부사업명 입력",K7)))</formula>
    </cfRule>
  </conditionalFormatting>
  <conditionalFormatting sqref="L7">
    <cfRule type="containsText" dxfId="224" priority="2691" operator="containsText" text="부기명 입력">
      <formula>NOT(ISERROR(SEARCH("부기명 입력",L7)))</formula>
    </cfRule>
  </conditionalFormatting>
  <conditionalFormatting sqref="O7:S7">
    <cfRule type="containsText" dxfId="223" priority="2686" operator="containsText" text="금액입력">
      <formula>NOT(ISERROR(SEARCH("금액입력",O7)))</formula>
    </cfRule>
  </conditionalFormatting>
  <conditionalFormatting sqref="F3:G5">
    <cfRule type="containsText" dxfId="222" priority="2629" operator="containsText" text="직접입력">
      <formula>NOT(ISERROR(SEARCH("직접입력",F3)))</formula>
    </cfRule>
  </conditionalFormatting>
  <conditionalFormatting sqref="O3:O5">
    <cfRule type="containsText" dxfId="221" priority="2625" operator="containsText" text="금액입력">
      <formula>NOT(ISERROR(SEARCH("금액입력",O3)))</formula>
    </cfRule>
  </conditionalFormatting>
  <conditionalFormatting sqref="AC8:AC22">
    <cfRule type="containsText" dxfId="220" priority="2453" operator="containsText" text="국비입력필요">
      <formula>NOT(ISERROR(SEARCH("국비입력필요",AC8)))</formula>
    </cfRule>
  </conditionalFormatting>
  <conditionalFormatting sqref="AC8:AC22">
    <cfRule type="containsText" dxfId="219" priority="2452" operator="containsText" text="입력필요">
      <formula>NOT(ISERROR(SEARCH("입력필요",AC8)))</formula>
    </cfRule>
  </conditionalFormatting>
  <conditionalFormatting sqref="AS8:AS22">
    <cfRule type="expression" dxfId="218" priority="2447">
      <formula>FIND("(지역개발기금)",$L8)&gt;0</formula>
    </cfRule>
    <cfRule type="expression" dxfId="217" priority="2448">
      <formula>FIND("(지방채)",$L8)&gt;0</formula>
    </cfRule>
  </conditionalFormatting>
  <conditionalFormatting sqref="AV6 AT6 AQ6 AO6 AL6 AF6 AI27">
    <cfRule type="containsText" dxfId="216" priority="1702" operator="containsText" text="@@">
      <formula>NOT(ISERROR(SEARCH("@@",AF6)))</formula>
    </cfRule>
  </conditionalFormatting>
  <conditionalFormatting sqref="AF8:AF22">
    <cfRule type="containsText" dxfId="215" priority="1701" operator="containsText" text="@@">
      <formula>NOT(ISERROR(SEARCH("@@",AF8)))</formula>
    </cfRule>
  </conditionalFormatting>
  <conditionalFormatting sqref="AQ8:AQ22">
    <cfRule type="containsText" dxfId="214" priority="1699" operator="containsText" text="@@">
      <formula>NOT(ISERROR(SEARCH("@@",AQ8)))</formula>
    </cfRule>
  </conditionalFormatting>
  <conditionalFormatting sqref="AV8:AV22">
    <cfRule type="containsText" dxfId="213" priority="1698" operator="containsText" text="@@">
      <formula>NOT(ISERROR(SEARCH("@@",AV8)))</formula>
    </cfRule>
  </conditionalFormatting>
  <conditionalFormatting sqref="AL8:AL22">
    <cfRule type="containsText" dxfId="212" priority="1125" operator="containsText" text="@@">
      <formula>NOT(ISERROR(SEARCH("@@",AL8)))</formula>
    </cfRule>
  </conditionalFormatting>
  <conditionalFormatting sqref="AO8:AO22">
    <cfRule type="containsText" dxfId="211" priority="1118" operator="containsText" text="@@">
      <formula>NOT(ISERROR(SEARCH("@@",AO8)))</formula>
    </cfRule>
  </conditionalFormatting>
  <conditionalFormatting sqref="AT8:AT22">
    <cfRule type="containsText" dxfId="210" priority="1117" operator="containsText" text="@@">
      <formula>NOT(ISERROR(SEARCH("@@",AT8)))</formula>
    </cfRule>
  </conditionalFormatting>
  <conditionalFormatting sqref="AS8:AS22">
    <cfRule type="expression" dxfId="209" priority="1115">
      <formula>FIND("(지역개발기금)",$L8)&gt;0</formula>
    </cfRule>
    <cfRule type="expression" dxfId="208" priority="1116">
      <formula>FIND("(지방채)",$L8)&gt;0</formula>
    </cfRule>
  </conditionalFormatting>
  <conditionalFormatting sqref="AC7">
    <cfRule type="containsText" dxfId="207" priority="428" operator="containsText" text="국비입력필요">
      <formula>NOT(ISERROR(SEARCH("국비입력필요",AC7)))</formula>
    </cfRule>
  </conditionalFormatting>
  <conditionalFormatting sqref="AC7 AI7">
    <cfRule type="containsText" dxfId="206" priority="427" operator="containsText" text="입력필요">
      <formula>NOT(ISERROR(SEARCH("입력필요",AC7)))</formula>
    </cfRule>
  </conditionalFormatting>
  <conditionalFormatting sqref="M3:M5">
    <cfRule type="containsText" dxfId="205" priority="394" operator="containsText" text="금액입력">
      <formula>NOT(ISERROR(SEARCH("금액입력",M3)))</formula>
    </cfRule>
  </conditionalFormatting>
  <conditionalFormatting sqref="N3:N5">
    <cfRule type="containsText" dxfId="204" priority="393" operator="containsText" text="금액입력">
      <formula>NOT(ISERROR(SEARCH("금액입력",N3)))</formula>
    </cfRule>
  </conditionalFormatting>
  <conditionalFormatting sqref="F7:G7">
    <cfRule type="containsText" dxfId="203" priority="308" operator="containsText" text="직접입력">
      <formula>NOT(ISERROR(SEARCH("직접입력",F7)))</formula>
    </cfRule>
  </conditionalFormatting>
  <conditionalFormatting sqref="B8:B22">
    <cfRule type="containsText" dxfId="202" priority="266" operator="containsText" text="직접입력">
      <formula>NOT(ISERROR(SEARCH("직접입력",B8)))</formula>
    </cfRule>
  </conditionalFormatting>
  <conditionalFormatting sqref="C8:C22">
    <cfRule type="containsText" dxfId="201" priority="268" operator="containsText" text="직접입력">
      <formula>NOT(ISERROR(SEARCH("직접입력",C8)))</formula>
    </cfRule>
  </conditionalFormatting>
  <conditionalFormatting sqref="C8:C22">
    <cfRule type="containsText" dxfId="200" priority="267" operator="containsText" text="직접입력">
      <formula>NOT(ISERROR(SEARCH("직접입력",C8)))</formula>
    </cfRule>
  </conditionalFormatting>
  <conditionalFormatting sqref="M7:N7">
    <cfRule type="containsText" dxfId="199" priority="255" operator="containsText" text="금액입력">
      <formula>NOT(ISERROR(SEARCH("금액입력",M7)))</formula>
    </cfRule>
  </conditionalFormatting>
  <conditionalFormatting sqref="F8:G22">
    <cfRule type="containsText" dxfId="198" priority="34" operator="containsText" text="직접입력">
      <formula>NOT(ISERROR(SEARCH("직접입력",F8)))</formula>
    </cfRule>
  </conditionalFormatting>
  <conditionalFormatting sqref="M8:M22">
    <cfRule type="containsText" dxfId="197" priority="3" operator="containsText" text="부기명 입력">
      <formula>NOT(ISERROR(SEARCH("부기명 입력",M8)))</formula>
    </cfRule>
  </conditionalFormatting>
  <conditionalFormatting sqref="M8:M22">
    <cfRule type="containsText" dxfId="196" priority="2" operator="containsText" text="금액입력">
      <formula>NOT(ISERROR(SEARCH("금액입력",M8)))</formula>
    </cfRule>
  </conditionalFormatting>
  <conditionalFormatting sqref="N8:N22">
    <cfRule type="containsText" dxfId="195" priority="1" operator="containsText" text="금액입력">
      <formula>NOT(ISERROR(SEARCH("금액입력",N8)))</formula>
    </cfRule>
  </conditionalFormatting>
  <dataValidations count="4">
    <dataValidation type="list" allowBlank="1" showInputMessage="1" showErrorMessage="1" sqref="E6" xr:uid="{00000000-0002-0000-0600-000001000000}">
      <formula1>"본예산, 신규"</formula1>
    </dataValidation>
    <dataValidation type="list" allowBlank="1" showInputMessage="1" showErrorMessage="1" sqref="W8:W22" xr:uid="{00000000-0002-0000-0600-000002000000}">
      <formula1>"동의, 부동의, 미실시"</formula1>
    </dataValidation>
    <dataValidation type="custom" allowBlank="1" showInputMessage="1" showErrorMessage="1" sqref="B8:B22" xr:uid="{9DB5BA09-D413-4E06-AE67-FA4ECFE2137B}">
      <formula1>"여성가족평생교육위원회"</formula1>
    </dataValidation>
    <dataValidation type="list" allowBlank="1" showInputMessage="1" showErrorMessage="1" sqref="E8:E22" xr:uid="{04595F25-D060-4904-AB07-9DA239BCBC16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19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0F6A6F0-763D-4736-B86E-1CB47C7F9C0F}">
          <x14:formula1>
            <xm:f>구분표!$AB$3:$AB$14</xm:f>
          </x14:formula1>
          <xm:sqref>D8:D22</xm:sqref>
        </x14:dataValidation>
        <x14:dataValidation type="list" allowBlank="1" showInputMessage="1" showErrorMessage="1" xr:uid="{F55A97B8-D4F1-44A2-8E11-14BAA9AA8DBA}">
          <x14:formula1>
            <xm:f>구분표!$AN$3:$AN$7</xm:f>
          </x14:formula1>
          <xm:sqref>C8:C22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AQ68"/>
  <sheetViews>
    <sheetView view="pageBreakPreview" zoomScale="55" zoomScaleNormal="55" zoomScaleSheetLayoutView="55" workbookViewId="0">
      <pane ySplit="6" topLeftCell="A7" activePane="bottomLeft" state="frozen"/>
      <selection pane="bottomLeft" activeCell="A48" sqref="A48"/>
    </sheetView>
  </sheetViews>
  <sheetFormatPr defaultColWidth="9" defaultRowHeight="50.1" customHeight="1"/>
  <cols>
    <col min="1" max="1" width="11.75" style="20" customWidth="1"/>
    <col min="2" max="2" width="22.125" style="47" bestFit="1" customWidth="1"/>
    <col min="3" max="3" width="25.375" style="47" bestFit="1" customWidth="1"/>
    <col min="4" max="4" width="22.125" style="47" bestFit="1" customWidth="1"/>
    <col min="5" max="5" width="10.125" style="47" bestFit="1" customWidth="1"/>
    <col min="6" max="7" width="15.625" style="58" customWidth="1"/>
    <col min="8" max="8" width="10.625" style="20" bestFit="1" customWidth="1"/>
    <col min="9" max="9" width="21.5" style="20" customWidth="1"/>
    <col min="10" max="10" width="33.25" style="20" customWidth="1"/>
    <col min="11" max="12" width="25.625" style="20" customWidth="1"/>
    <col min="13" max="17" width="25.625" style="380" customWidth="1"/>
    <col min="18" max="18" width="12.625" style="20" customWidth="1"/>
    <col min="19" max="19" width="19" style="29" customWidth="1"/>
    <col min="20" max="20" width="26.625" style="29" bestFit="1" customWidth="1"/>
    <col min="21" max="21" width="15.875" style="29" customWidth="1"/>
    <col min="22" max="22" width="26.5" style="29" customWidth="1"/>
    <col min="23" max="23" width="14.875" style="29" bestFit="1" customWidth="1"/>
    <col min="24" max="24" width="12.625" style="47" bestFit="1" customWidth="1"/>
    <col min="25" max="25" width="4.625" style="20" customWidth="1"/>
    <col min="26" max="27" width="25.625" style="380" customWidth="1"/>
    <col min="28" max="28" width="2.625" style="20" customWidth="1"/>
    <col min="29" max="30" width="25.625" style="380" customWidth="1"/>
    <col min="31" max="31" width="2.625" style="20" customWidth="1"/>
    <col min="32" max="32" width="15.625" style="20" customWidth="1"/>
    <col min="33" max="33" width="7.875" style="20" bestFit="1" customWidth="1"/>
    <col min="34" max="34" width="2.625" style="20" customWidth="1"/>
    <col min="35" max="35" width="9.5" style="20" bestFit="1" customWidth="1"/>
    <col min="36" max="36" width="2.625" style="20" customWidth="1"/>
    <col min="37" max="37" width="25.625" style="380" customWidth="1"/>
    <col min="38" max="38" width="9" style="20" bestFit="1" customWidth="1"/>
    <col min="39" max="39" width="16.625" style="20" customWidth="1"/>
    <col min="40" max="40" width="4.25" style="20" customWidth="1"/>
    <col min="41" max="41" width="25.625" style="380" customWidth="1"/>
    <col min="42" max="42" width="9" style="20" bestFit="1" customWidth="1"/>
    <col min="43" max="43" width="16.625" style="20" customWidth="1"/>
    <col min="44" max="16384" width="9" style="20"/>
  </cols>
  <sheetData>
    <row r="1" spans="1:43" ht="90" customHeight="1">
      <c r="A1" s="597" t="s">
        <v>1070</v>
      </c>
      <c r="B1" s="597"/>
      <c r="C1" s="597"/>
      <c r="D1" s="597"/>
      <c r="E1" s="597"/>
      <c r="F1" s="597"/>
      <c r="G1" s="597"/>
      <c r="H1" s="597"/>
      <c r="I1" s="597"/>
      <c r="J1" s="597"/>
      <c r="K1" s="597"/>
      <c r="L1" s="597"/>
      <c r="M1" s="597"/>
      <c r="N1" s="597"/>
      <c r="O1" s="597"/>
      <c r="P1" s="597"/>
      <c r="Q1" s="597"/>
      <c r="R1" s="597"/>
      <c r="S1" s="597"/>
      <c r="T1" s="597"/>
      <c r="U1" s="597"/>
      <c r="V1" s="597"/>
      <c r="W1" s="597"/>
      <c r="X1" s="597"/>
      <c r="Z1" s="603" t="s">
        <v>1020</v>
      </c>
      <c r="AA1" s="605"/>
      <c r="AC1" s="600" t="s">
        <v>1020</v>
      </c>
      <c r="AD1" s="602"/>
      <c r="AF1" s="376" t="s">
        <v>1059</v>
      </c>
    </row>
    <row r="2" spans="1:43" s="43" customFormat="1" ht="39" customHeight="1">
      <c r="A2" s="51"/>
      <c r="B2" s="49"/>
      <c r="C2" s="48"/>
      <c r="D2" s="48"/>
      <c r="E2" s="48"/>
      <c r="F2" s="48"/>
      <c r="G2" s="48"/>
      <c r="M2" s="415"/>
      <c r="N2" s="415"/>
      <c r="O2" s="415"/>
      <c r="P2" s="415"/>
      <c r="Q2" s="416">
        <f>Q6-M6</f>
        <v>0</v>
      </c>
      <c r="X2" s="48"/>
      <c r="Z2" s="421" t="s">
        <v>1091</v>
      </c>
      <c r="AA2" s="472" t="s">
        <v>1092</v>
      </c>
      <c r="AC2" s="421" t="s">
        <v>1091</v>
      </c>
      <c r="AD2" s="472" t="s">
        <v>1092</v>
      </c>
      <c r="AK2" s="421" t="s">
        <v>1025</v>
      </c>
      <c r="AM2" s="51"/>
      <c r="AO2" s="421" t="s">
        <v>1025</v>
      </c>
      <c r="AQ2" s="51"/>
    </row>
    <row r="3" spans="1:43" ht="24.75" customHeight="1">
      <c r="A3" s="22"/>
      <c r="N3" s="382"/>
      <c r="O3" s="382"/>
      <c r="P3" s="382"/>
      <c r="Q3" s="382"/>
      <c r="R3" s="64"/>
      <c r="W3" s="292"/>
      <c r="X3" s="61" t="s">
        <v>114</v>
      </c>
      <c r="Z3" s="394" t="str">
        <f>IF(Z6='4. 특출'!AB5,"OK","@@")</f>
        <v>OK</v>
      </c>
      <c r="AA3" s="394" t="str">
        <f>IF(AA6='4. 특출'!AC5,"OK","@@")</f>
        <v>OK</v>
      </c>
      <c r="AC3" s="394" t="str">
        <f>IF(AC6='4. 특출'!AF5,"OK","@@")</f>
        <v>OK</v>
      </c>
      <c r="AD3" s="394" t="str">
        <f>IF(AD6='4. 특출'!AG5,"OK","@@")</f>
        <v>OK</v>
      </c>
      <c r="AK3" s="418" t="str">
        <f>IF(Z6=AK6,"OK","@@")</f>
        <v>OK</v>
      </c>
      <c r="AL3" s="322"/>
      <c r="AM3" s="321"/>
      <c r="AO3" s="418" t="str">
        <f>IF(AC6=AO6,"OK","@@")</f>
        <v>OK</v>
      </c>
      <c r="AP3" s="322"/>
      <c r="AQ3" s="321"/>
    </row>
    <row r="4" spans="1:43" s="272" customFormat="1" ht="60" customHeight="1">
      <c r="A4" s="579" t="s">
        <v>184</v>
      </c>
      <c r="B4" s="583" t="s">
        <v>110</v>
      </c>
      <c r="C4" s="583" t="s">
        <v>111</v>
      </c>
      <c r="D4" s="583" t="s">
        <v>112</v>
      </c>
      <c r="E4" s="584" t="s">
        <v>113</v>
      </c>
      <c r="F4" s="584" t="s">
        <v>1084</v>
      </c>
      <c r="G4" s="584" t="s">
        <v>251</v>
      </c>
      <c r="H4" s="628" t="s">
        <v>505</v>
      </c>
      <c r="I4" s="579" t="s">
        <v>759</v>
      </c>
      <c r="J4" s="579" t="s">
        <v>504</v>
      </c>
      <c r="K4" s="580" t="s">
        <v>1642</v>
      </c>
      <c r="L4" s="580" t="s">
        <v>1637</v>
      </c>
      <c r="M4" s="580" t="s">
        <v>1076</v>
      </c>
      <c r="N4" s="568" t="s">
        <v>1077</v>
      </c>
      <c r="O4" s="567" t="s">
        <v>1080</v>
      </c>
      <c r="P4" s="568" t="s">
        <v>1078</v>
      </c>
      <c r="Q4" s="567" t="s">
        <v>1079</v>
      </c>
      <c r="R4" s="598" t="s">
        <v>253</v>
      </c>
      <c r="S4" s="567" t="s">
        <v>255</v>
      </c>
      <c r="T4" s="567" t="s">
        <v>254</v>
      </c>
      <c r="U4" s="567" t="s">
        <v>256</v>
      </c>
      <c r="V4" s="567" t="s">
        <v>761</v>
      </c>
      <c r="W4" s="567" t="s">
        <v>760</v>
      </c>
      <c r="X4" s="584" t="s">
        <v>115</v>
      </c>
      <c r="Y4" s="271"/>
      <c r="Z4" s="571" t="s">
        <v>117</v>
      </c>
      <c r="AA4" s="571"/>
      <c r="AC4" s="573" t="s">
        <v>121</v>
      </c>
      <c r="AD4" s="573"/>
      <c r="AF4" s="589" t="s">
        <v>122</v>
      </c>
      <c r="AG4" s="665" t="s">
        <v>116</v>
      </c>
      <c r="AI4" s="587" t="s">
        <v>1024</v>
      </c>
      <c r="AK4" s="653" t="s">
        <v>124</v>
      </c>
      <c r="AL4" s="653"/>
      <c r="AM4" s="653"/>
      <c r="AO4" s="662" t="s">
        <v>127</v>
      </c>
      <c r="AP4" s="662"/>
      <c r="AQ4" s="662"/>
    </row>
    <row r="5" spans="1:43" s="272" customFormat="1" ht="60" customHeight="1">
      <c r="A5" s="579"/>
      <c r="B5" s="583"/>
      <c r="C5" s="583"/>
      <c r="D5" s="583"/>
      <c r="E5" s="584"/>
      <c r="F5" s="584"/>
      <c r="G5" s="584"/>
      <c r="H5" s="630"/>
      <c r="I5" s="579"/>
      <c r="J5" s="579"/>
      <c r="K5" s="581"/>
      <c r="L5" s="581"/>
      <c r="M5" s="581"/>
      <c r="N5" s="570"/>
      <c r="O5" s="599"/>
      <c r="P5" s="570"/>
      <c r="Q5" s="599"/>
      <c r="R5" s="598"/>
      <c r="S5" s="567"/>
      <c r="T5" s="567"/>
      <c r="U5" s="567"/>
      <c r="V5" s="567"/>
      <c r="W5" s="567"/>
      <c r="X5" s="583"/>
      <c r="Y5" s="271"/>
      <c r="Z5" s="419" t="s">
        <v>118</v>
      </c>
      <c r="AA5" s="419" t="s">
        <v>119</v>
      </c>
      <c r="AC5" s="395" t="s">
        <v>118</v>
      </c>
      <c r="AD5" s="395" t="s">
        <v>119</v>
      </c>
      <c r="AF5" s="589"/>
      <c r="AG5" s="665"/>
      <c r="AI5" s="589"/>
      <c r="AK5" s="395" t="s">
        <v>125</v>
      </c>
      <c r="AL5" s="273" t="s">
        <v>126</v>
      </c>
      <c r="AM5" s="314" t="s">
        <v>1049</v>
      </c>
      <c r="AO5" s="395" t="s">
        <v>125</v>
      </c>
      <c r="AP5" s="273" t="s">
        <v>126</v>
      </c>
      <c r="AQ5" s="314" t="s">
        <v>1049</v>
      </c>
    </row>
    <row r="6" spans="1:43" s="329" customFormat="1" ht="80.099999999999994" customHeight="1">
      <c r="A6" s="328"/>
      <c r="B6" s="130" t="s">
        <v>252</v>
      </c>
      <c r="C6" s="331"/>
      <c r="D6" s="331"/>
      <c r="E6" s="331"/>
      <c r="F6" s="331"/>
      <c r="G6" s="331"/>
      <c r="H6" s="326"/>
      <c r="I6" s="326"/>
      <c r="J6" s="327" t="str">
        <f>SUBTOTAL(3,J$7:J$2000)&amp;"건"</f>
        <v>0건</v>
      </c>
      <c r="K6" s="417">
        <f t="shared" ref="K6:Q6" si="0">SUBTOTAL(9,K$7:K$2000)</f>
        <v>0</v>
      </c>
      <c r="L6" s="417">
        <f t="shared" si="0"/>
        <v>0</v>
      </c>
      <c r="M6" s="417">
        <f t="shared" si="0"/>
        <v>0</v>
      </c>
      <c r="N6" s="417">
        <f t="shared" si="0"/>
        <v>0</v>
      </c>
      <c r="O6" s="417">
        <f t="shared" si="0"/>
        <v>0</v>
      </c>
      <c r="P6" s="417">
        <f t="shared" si="0"/>
        <v>0</v>
      </c>
      <c r="Q6" s="417">
        <f t="shared" si="0"/>
        <v>0</v>
      </c>
      <c r="R6" s="332"/>
      <c r="S6" s="332"/>
      <c r="T6" s="332"/>
      <c r="U6" s="332"/>
      <c r="V6" s="332"/>
      <c r="W6" s="332"/>
      <c r="X6" s="333"/>
      <c r="Y6" s="334"/>
      <c r="Z6" s="417">
        <f>SUBTOTAL(9,Z$7:Z$2000)</f>
        <v>0</v>
      </c>
      <c r="AA6" s="417">
        <f>SUBTOTAL(9,AA$7:AA$2000)</f>
        <v>0</v>
      </c>
      <c r="AC6" s="417">
        <f>SUBTOTAL(9,AC$7:AC$2000)</f>
        <v>0</v>
      </c>
      <c r="AD6" s="417">
        <f>SUBTOTAL(9,AD$7:AD$2000)</f>
        <v>0</v>
      </c>
      <c r="AF6" s="330"/>
      <c r="AG6" s="330"/>
      <c r="AI6" s="330"/>
      <c r="AK6" s="417">
        <f>SUBTOTAL(9,AK$7:AK$2000)</f>
        <v>0</v>
      </c>
      <c r="AL6" s="131">
        <f>SUBTOTAL(9,AL$7:AL$2000)</f>
        <v>0</v>
      </c>
      <c r="AM6" s="330" t="str">
        <f>IF(COUNTIF(AM$7:AM$2000,"@@")&gt;0,"@@","OK")</f>
        <v>OK</v>
      </c>
      <c r="AO6" s="417">
        <f>SUBTOTAL(9,AO$7:AO$2000)</f>
        <v>0</v>
      </c>
      <c r="AP6" s="131">
        <f>SUBTOTAL(9,AP$7:AP$2000)</f>
        <v>0</v>
      </c>
      <c r="AQ6" s="330" t="str">
        <f>IF(COUNTIF(AQ$7:AQ$2000,"@@")&gt;0,"@@","OK")</f>
        <v>OK</v>
      </c>
    </row>
    <row r="7" spans="1:43" ht="69.95" customHeight="1">
      <c r="A7" s="122"/>
      <c r="B7" s="664" t="s">
        <v>768</v>
      </c>
      <c r="C7" s="664"/>
      <c r="D7" s="664"/>
      <c r="E7" s="664"/>
      <c r="F7" s="664"/>
      <c r="G7" s="664"/>
      <c r="H7" s="123"/>
      <c r="I7" s="123"/>
      <c r="J7" s="291" t="str">
        <f>SUBTOTAL(3,J8:J11)&amp;"건"</f>
        <v>0건</v>
      </c>
      <c r="K7" s="384">
        <f t="shared" ref="K7:Q7" si="1">SUBTOTAL(9,K8:K11)</f>
        <v>0</v>
      </c>
      <c r="L7" s="384">
        <f t="shared" si="1"/>
        <v>0</v>
      </c>
      <c r="M7" s="384">
        <f t="shared" si="1"/>
        <v>0</v>
      </c>
      <c r="N7" s="384">
        <f t="shared" si="1"/>
        <v>0</v>
      </c>
      <c r="O7" s="384">
        <f t="shared" si="1"/>
        <v>0</v>
      </c>
      <c r="P7" s="384">
        <f t="shared" si="1"/>
        <v>0</v>
      </c>
      <c r="Q7" s="384">
        <f t="shared" si="1"/>
        <v>0</v>
      </c>
      <c r="R7" s="122"/>
      <c r="S7" s="122"/>
      <c r="T7" s="122"/>
      <c r="U7" s="122"/>
      <c r="V7" s="122"/>
      <c r="W7" s="122"/>
      <c r="X7" s="124"/>
      <c r="Y7" s="42"/>
      <c r="Z7" s="384">
        <f>SUBTOTAL(9,Z8:Z11)</f>
        <v>0</v>
      </c>
      <c r="AA7" s="384">
        <f>SUBTOTAL(9,AA8:AA11)</f>
        <v>0</v>
      </c>
      <c r="AB7" s="43"/>
      <c r="AC7" s="384">
        <f>SUBTOTAL(9,AC8:AC11)</f>
        <v>0</v>
      </c>
      <c r="AD7" s="384">
        <f>SUBTOTAL(9,AD8:AD11)</f>
        <v>0</v>
      </c>
      <c r="AE7" s="43"/>
      <c r="AF7" s="122"/>
      <c r="AG7" s="124"/>
      <c r="AH7" s="43"/>
      <c r="AI7" s="124"/>
      <c r="AJ7" s="43"/>
      <c r="AK7" s="384">
        <f>SUBTOTAL(9,AK8:AK11)</f>
        <v>0</v>
      </c>
      <c r="AL7" s="384">
        <f>SUBTOTAL(9,AL8:AL11)</f>
        <v>0</v>
      </c>
      <c r="AM7" s="470" t="str">
        <f>IF(COUNTIF(AM8:AM11,"@@")&gt;0,"@@","OK")</f>
        <v>OK</v>
      </c>
      <c r="AN7" s="43"/>
      <c r="AO7" s="384">
        <f t="shared" ref="AO7:AP7" si="2">SUBTOTAL(9,AO8:AO11)</f>
        <v>0</v>
      </c>
      <c r="AP7" s="384">
        <f t="shared" si="2"/>
        <v>0</v>
      </c>
      <c r="AQ7" s="470" t="str">
        <f>IF(COUNTIF(AQ8:AQ11,"@@")&gt;0,"@@","OK")</f>
        <v>OK</v>
      </c>
    </row>
    <row r="8" spans="1:43" s="120" customFormat="1" ht="69.95" customHeight="1">
      <c r="A8" s="115" t="str">
        <f>IF(D8="","",COUNTA($C$7:C8)-COUNTBLANK($C$7:C8)+1)</f>
        <v/>
      </c>
      <c r="B8" s="116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16" t="str">
        <f>IF(D8="","",IF(OR(D8="교육지원과"),"소방재난본부",VLOOKUP(D8,구분표!$A$3:$C$258,3,)))</f>
        <v/>
      </c>
      <c r="D8" s="173"/>
      <c r="E8" s="161"/>
      <c r="F8" s="323" t="str">
        <f>IF($E8="","",IF($E8="2추","직접입력","-"))</f>
        <v/>
      </c>
      <c r="G8" s="323" t="str">
        <f>IF($E8="","",IF($E8="2추","직접입력","-"))</f>
        <v/>
      </c>
      <c r="H8" s="162"/>
      <c r="I8" s="116" t="str">
        <f>IF(H8="","",VLOOKUP($H8,구분표!$O$3:$P$168,2,FALSE))</f>
        <v/>
      </c>
      <c r="J8" s="163"/>
      <c r="K8" s="385" t="str">
        <f>IF($E8="","",IF(OR($E8="2추", $E8="1추", $E8="본예산"), "금액입력", "-"))</f>
        <v/>
      </c>
      <c r="L8" s="385" t="str">
        <f>IF($E8="", "", IF($E8="2추","금액입력", "-"))</f>
        <v/>
      </c>
      <c r="M8" s="387" t="str">
        <f>IF($E8="","",SUM(K8:L8))</f>
        <v/>
      </c>
      <c r="N8" s="386"/>
      <c r="O8" s="387">
        <f>SUM(M8:N8)</f>
        <v>0</v>
      </c>
      <c r="P8" s="388"/>
      <c r="Q8" s="389">
        <f>SUM(M8,P8)</f>
        <v>0</v>
      </c>
      <c r="R8" s="118" t="str">
        <f t="shared" ref="R8" si="3">IF(AND((O8=0),(Q8&gt;0)),"O",IF(AND((N8&lt;0),(O8-Q8&lt;0)),"O","X"))</f>
        <v>X</v>
      </c>
      <c r="S8" s="177"/>
      <c r="T8" s="176"/>
      <c r="U8" s="178"/>
      <c r="V8" s="179"/>
      <c r="W8" s="178"/>
      <c r="X8" s="118" t="str">
        <f>IF($H8="","",IF(OR($H8="511-01", $H8="511-02", $H8="511-03", $H8="311-02", $H8="311-04", $H8="321-01"),"국비","도비"))</f>
        <v/>
      </c>
      <c r="Y8" s="174"/>
      <c r="Z8" s="420" t="str">
        <f>IF($X8="", "", IF($X8="국비",$N8, 0))</f>
        <v/>
      </c>
      <c r="AA8" s="420" t="str">
        <f>IF($X8="", "", IF($X8="도비",$N8, 0))</f>
        <v/>
      </c>
      <c r="AC8" s="420" t="str">
        <f>IF($X8="", "", IF($X8="국비",$P8, 0))</f>
        <v/>
      </c>
      <c r="AD8" s="420" t="str">
        <f>IF($X8="", "", IF($X8="도비",$P8, 0))</f>
        <v/>
      </c>
      <c r="AF8" s="310" t="str">
        <f>IF(AI8="","",IF($X8="도비","-",CONCATENATE(AI8,"-",COUNTIF($AI$7:AI8,AI8))))</f>
        <v/>
      </c>
      <c r="AG8" s="310" t="str">
        <f>IF($H8="","",IF($H8="511-01","국비",IF($H8="511-02","균특",IF($H8="511-03","기금",IF($H8="311-02","특교",IF($H8="311-04","소교",IF($H8="321-01","소멸","도비")))))))</f>
        <v/>
      </c>
      <c r="AI8" s="310" t="str">
        <f t="array" ref="AI8">IF(OR(D8="", B8="직접입력", C8="직접입력"),"",INDEX(구분표!$I$2:$I$336, MATCH(1,(구분표!$G$2:$G$336='4. 특입'!B8)*(구분표!$E$2:$E$336='4. 특입'!C8)*(구분표!$F$2:$F$336='4. 특입'!D8),0)))</f>
        <v/>
      </c>
      <c r="AJ8" s="175"/>
      <c r="AK8" s="398" t="str">
        <f>IF($AF8="","",IF($AF8="-",0, SUMIFS('4. 특출'!$AB$6:$AB$2000,'4. 특출'!$AJ$6:$AJ$2000,$AF8)))</f>
        <v/>
      </c>
      <c r="AL8" s="313" t="str">
        <f>IF($AF8="","",IF($AF8="-", 0, COUNTIF('4. 특출'!$AJ$6:$AJ$2000,$AF8)))</f>
        <v/>
      </c>
      <c r="AM8" s="310" t="str">
        <f>IF($AF8="", "", IF($Z8=$AK8,"OK","@@"))</f>
        <v/>
      </c>
      <c r="AN8" s="175"/>
      <c r="AO8" s="398" t="str">
        <f>IF($AF8="","",IF($AF8="-",0, SUMIFS('4. 특출'!$AF$6:$AF$2000,'4. 특출'!$AJ$6:$AJ$2000,$AF8)))</f>
        <v/>
      </c>
      <c r="AP8" s="313" t="str">
        <f>IF($AF8="","",IF($AF8="-", 0, COUNTIF('4. 특출'!$AJ$6:$AJ$2000,$AF8)))</f>
        <v/>
      </c>
      <c r="AQ8" s="310" t="str">
        <f>IF($AF8="", "", IF($AC8=$AO8,"OK","@@"))</f>
        <v/>
      </c>
    </row>
    <row r="9" spans="1:43" s="120" customFormat="1" ht="69.95" customHeight="1">
      <c r="A9" s="115" t="str">
        <f>IF(D9="","",COUNTA($C$7:C9)-COUNTBLANK($C$7:C9)+1)</f>
        <v/>
      </c>
      <c r="B9" s="116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16" t="str">
        <f>IF(D9="","",IF(OR(D9="교육지원과"),"소방재난본부",VLOOKUP(D9,구분표!$A$3:$C$258,3,)))</f>
        <v/>
      </c>
      <c r="D9" s="173"/>
      <c r="E9" s="161"/>
      <c r="F9" s="323" t="str">
        <f t="shared" ref="F9:G11" si="4">IF($E9="","",IF($E9="2추","직접입력","-"))</f>
        <v/>
      </c>
      <c r="G9" s="323" t="str">
        <f t="shared" si="4"/>
        <v/>
      </c>
      <c r="H9" s="162"/>
      <c r="I9" s="116" t="str">
        <f>IF(H9="","",VLOOKUP($H9,구분표!$O$3:$P$168,2,FALSE))</f>
        <v/>
      </c>
      <c r="J9" s="163"/>
      <c r="K9" s="385" t="str">
        <f t="shared" ref="K9:K11" si="5">IF($E9="","",IF(OR($E9="2추", $E9="1추", $E9="본예산"), "금액입력", "-"))</f>
        <v/>
      </c>
      <c r="L9" s="385" t="str">
        <f t="shared" ref="L9:L11" si="6">IF($E9="", "", IF($E9="2추","금액입력", "-"))</f>
        <v/>
      </c>
      <c r="M9" s="387" t="str">
        <f t="shared" ref="M9:M11" si="7">IF($E9="","",SUM(K9:L9))</f>
        <v/>
      </c>
      <c r="N9" s="386"/>
      <c r="O9" s="387">
        <f t="shared" ref="O9:O11" si="8">SUM(M9:N9)</f>
        <v>0</v>
      </c>
      <c r="P9" s="388"/>
      <c r="Q9" s="389">
        <f t="shared" ref="Q9:Q11" si="9">SUM(M9,P9)</f>
        <v>0</v>
      </c>
      <c r="R9" s="118" t="str">
        <f t="shared" ref="R9:R11" si="10">IF(AND((O9=0),(Q9&gt;0)),"O",IF(AND((N9&lt;0),(O9-Q9&lt;0)),"O","X"))</f>
        <v>X</v>
      </c>
      <c r="S9" s="177"/>
      <c r="T9" s="176"/>
      <c r="U9" s="178"/>
      <c r="V9" s="179"/>
      <c r="W9" s="178"/>
      <c r="X9" s="118" t="str">
        <f t="shared" ref="X9:X11" si="11">IF($H9="","",IF(OR($H9="511-01", $H9="511-02", $H9="511-03", $H9="311-02", $H9="311-04", $H9="321-01"),"국비","도비"))</f>
        <v/>
      </c>
      <c r="Y9" s="174"/>
      <c r="Z9" s="420" t="str">
        <f t="shared" ref="Z9:Z11" si="12">IF($X9="", "", IF($X9="국비",$N9, 0))</f>
        <v/>
      </c>
      <c r="AA9" s="420" t="str">
        <f t="shared" ref="AA9:AA11" si="13">IF($X9="", "", IF($X9="도비",$N9, 0))</f>
        <v/>
      </c>
      <c r="AC9" s="420" t="str">
        <f t="shared" ref="AC9:AC11" si="14">IF($X9="", "", IF($X9="국비",$P9, 0))</f>
        <v/>
      </c>
      <c r="AD9" s="420" t="str">
        <f t="shared" ref="AD9:AD11" si="15">IF($X9="", "", IF($X9="도비",$P9, 0))</f>
        <v/>
      </c>
      <c r="AF9" s="310" t="str">
        <f>IF(AI9="","",IF($X9="도비","-",CONCATENATE(AI9,"-",COUNTIF($AI$7:AI9,AI9))))</f>
        <v/>
      </c>
      <c r="AG9" s="310" t="str">
        <f t="shared" ref="AG9:AG11" si="16">IF($H9="","",IF($H9="511-01","국비",IF($H9="511-02","균특",IF($H9="511-03","기금",IF($H9="311-02","특교",IF($H9="311-04","소교",IF($H9="321-01","소멸","도비")))))))</f>
        <v/>
      </c>
      <c r="AI9" s="310" t="str">
        <f t="array" ref="AI9">IF(OR(D9="", B9="직접입력", C9="직접입력"),"",INDEX(구분표!$I$2:$I$336, MATCH(1,(구분표!$G$2:$G$336='4. 특입'!B9)*(구분표!$E$2:$E$336='4. 특입'!C9)*(구분표!$F$2:$F$336='4. 특입'!D9),0)))</f>
        <v/>
      </c>
      <c r="AJ9" s="175"/>
      <c r="AK9" s="398" t="str">
        <f>IF($AF9="","",IF($AF9="-",0, SUMIFS('4. 특출'!$AB$6:$AB$2000,'4. 특출'!$AJ$6:$AJ$2000,$AF9)))</f>
        <v/>
      </c>
      <c r="AL9" s="313" t="str">
        <f>IF($AF9="","",IF($AF9="-", 0, COUNTIF('4. 특출'!$AJ$6:$AJ$2000,$AF9)))</f>
        <v/>
      </c>
      <c r="AM9" s="310" t="str">
        <f t="shared" ref="AM9:AM11" si="17">IF($AF9="", "", IF($Z9=$AK9,"OK","@@"))</f>
        <v/>
      </c>
      <c r="AN9" s="175"/>
      <c r="AO9" s="398" t="str">
        <f>IF($AF9="","",IF($AF9="-",0, SUMIFS('4. 특출'!$AF$6:$AF$2000,'4. 특출'!$AJ$6:$AJ$2000,$AF9)))</f>
        <v/>
      </c>
      <c r="AP9" s="313" t="str">
        <f>IF($AF9="","",IF($AF9="-", 0, COUNTIF('4. 특출'!$AJ$6:$AJ$2000,$AF9)))</f>
        <v/>
      </c>
      <c r="AQ9" s="310" t="str">
        <f t="shared" ref="AQ9:AQ11" si="18">IF($AF9="", "", IF($AC9=$AO9,"OK","@@"))</f>
        <v/>
      </c>
    </row>
    <row r="10" spans="1:43" s="120" customFormat="1" ht="69.95" customHeight="1">
      <c r="A10" s="115" t="str">
        <f>IF(D10="","",COUNTA($C$7:C10)-COUNTBLANK($C$7:C10)+1)</f>
        <v/>
      </c>
      <c r="B10" s="116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16" t="str">
        <f>IF(D10="","",IF(OR(D10="교육지원과"),"소방재난본부",VLOOKUP(D10,구분표!$A$3:$C$258,3,)))</f>
        <v/>
      </c>
      <c r="D10" s="173"/>
      <c r="E10" s="161"/>
      <c r="F10" s="323" t="str">
        <f t="shared" si="4"/>
        <v/>
      </c>
      <c r="G10" s="323" t="str">
        <f t="shared" si="4"/>
        <v/>
      </c>
      <c r="H10" s="162"/>
      <c r="I10" s="116" t="str">
        <f>IF(H10="","",VLOOKUP($H10,구분표!$O$3:$P$168,2,FALSE))</f>
        <v/>
      </c>
      <c r="J10" s="163"/>
      <c r="K10" s="385" t="str">
        <f t="shared" si="5"/>
        <v/>
      </c>
      <c r="L10" s="385" t="str">
        <f t="shared" si="6"/>
        <v/>
      </c>
      <c r="M10" s="387" t="str">
        <f t="shared" si="7"/>
        <v/>
      </c>
      <c r="N10" s="386"/>
      <c r="O10" s="387">
        <f t="shared" si="8"/>
        <v>0</v>
      </c>
      <c r="P10" s="388"/>
      <c r="Q10" s="389">
        <f t="shared" si="9"/>
        <v>0</v>
      </c>
      <c r="R10" s="118" t="str">
        <f t="shared" si="10"/>
        <v>X</v>
      </c>
      <c r="S10" s="177"/>
      <c r="T10" s="176"/>
      <c r="U10" s="178"/>
      <c r="V10" s="179"/>
      <c r="W10" s="178"/>
      <c r="X10" s="118" t="str">
        <f t="shared" si="11"/>
        <v/>
      </c>
      <c r="Y10" s="174"/>
      <c r="Z10" s="420" t="str">
        <f t="shared" si="12"/>
        <v/>
      </c>
      <c r="AA10" s="420" t="str">
        <f t="shared" si="13"/>
        <v/>
      </c>
      <c r="AC10" s="420" t="str">
        <f t="shared" si="14"/>
        <v/>
      </c>
      <c r="AD10" s="420" t="str">
        <f t="shared" si="15"/>
        <v/>
      </c>
      <c r="AF10" s="310" t="str">
        <f>IF(AI10="","",IF($X10="도비","-",CONCATENATE(AI10,"-",COUNTIF($AI$7:AI10,AI10))))</f>
        <v/>
      </c>
      <c r="AG10" s="310" t="str">
        <f t="shared" si="16"/>
        <v/>
      </c>
      <c r="AI10" s="310" t="str">
        <f t="array" ref="AI10">IF(OR(D10="", B10="직접입력", C10="직접입력"),"",INDEX(구분표!$I$2:$I$336, MATCH(1,(구분표!$G$2:$G$336='4. 특입'!B10)*(구분표!$E$2:$E$336='4. 특입'!C10)*(구분표!$F$2:$F$336='4. 특입'!D10),0)))</f>
        <v/>
      </c>
      <c r="AJ10" s="175"/>
      <c r="AK10" s="398" t="str">
        <f>IF($AF10="","",IF($AF10="-",0, SUMIFS('4. 특출'!$AB$6:$AB$2000,'4. 특출'!$AJ$6:$AJ$2000,$AF10)))</f>
        <v/>
      </c>
      <c r="AL10" s="313" t="str">
        <f>IF($AF10="","",IF($AF10="-", 0, COUNTIF('4. 특출'!$AJ$6:$AJ$2000,$AF10)))</f>
        <v/>
      </c>
      <c r="AM10" s="310" t="str">
        <f t="shared" si="17"/>
        <v/>
      </c>
      <c r="AN10" s="175"/>
      <c r="AO10" s="398" t="str">
        <f>IF($AF10="","",IF($AF10="-",0, SUMIFS('4. 특출'!$AF$6:$AF$2000,'4. 특출'!$AJ$6:$AJ$2000,$AF10)))</f>
        <v/>
      </c>
      <c r="AP10" s="313" t="str">
        <f>IF($AF10="","",IF($AF10="-", 0, COUNTIF('4. 특출'!$AJ$6:$AJ$2000,$AF10)))</f>
        <v/>
      </c>
      <c r="AQ10" s="310" t="str">
        <f t="shared" si="18"/>
        <v/>
      </c>
    </row>
    <row r="11" spans="1:43" s="120" customFormat="1" ht="69.95" customHeight="1">
      <c r="A11" s="115" t="str">
        <f>IF(D11="","",COUNTA($C$7:C11)-COUNTBLANK($C$7:C11)+1)</f>
        <v/>
      </c>
      <c r="B11" s="116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16" t="str">
        <f>IF(D11="","",IF(OR(D11="교육지원과"),"소방재난본부",VLOOKUP(D11,구분표!$A$3:$C$258,3,)))</f>
        <v/>
      </c>
      <c r="D11" s="173"/>
      <c r="E11" s="161"/>
      <c r="F11" s="323" t="str">
        <f t="shared" si="4"/>
        <v/>
      </c>
      <c r="G11" s="323" t="str">
        <f t="shared" si="4"/>
        <v/>
      </c>
      <c r="H11" s="162"/>
      <c r="I11" s="116" t="str">
        <f>IF(H11="","",VLOOKUP($H11,구분표!$O$3:$P$168,2,FALSE))</f>
        <v/>
      </c>
      <c r="J11" s="163"/>
      <c r="K11" s="385" t="str">
        <f t="shared" si="5"/>
        <v/>
      </c>
      <c r="L11" s="385" t="str">
        <f t="shared" si="6"/>
        <v/>
      </c>
      <c r="M11" s="387" t="str">
        <f t="shared" si="7"/>
        <v/>
      </c>
      <c r="N11" s="386"/>
      <c r="O11" s="387">
        <f t="shared" si="8"/>
        <v>0</v>
      </c>
      <c r="P11" s="388"/>
      <c r="Q11" s="389">
        <f t="shared" si="9"/>
        <v>0</v>
      </c>
      <c r="R11" s="118" t="str">
        <f t="shared" si="10"/>
        <v>X</v>
      </c>
      <c r="S11" s="177"/>
      <c r="T11" s="176"/>
      <c r="U11" s="178"/>
      <c r="V11" s="179"/>
      <c r="W11" s="178"/>
      <c r="X11" s="118" t="str">
        <f t="shared" si="11"/>
        <v/>
      </c>
      <c r="Y11" s="174"/>
      <c r="Z11" s="420" t="str">
        <f t="shared" si="12"/>
        <v/>
      </c>
      <c r="AA11" s="420" t="str">
        <f t="shared" si="13"/>
        <v/>
      </c>
      <c r="AC11" s="420" t="str">
        <f t="shared" si="14"/>
        <v/>
      </c>
      <c r="AD11" s="420" t="str">
        <f t="shared" si="15"/>
        <v/>
      </c>
      <c r="AF11" s="310" t="str">
        <f>IF(AI11="","",IF($X11="도비","-",CONCATENATE(AI11,"-",COUNTIF($AI$7:AI11,AI11))))</f>
        <v/>
      </c>
      <c r="AG11" s="310" t="str">
        <f t="shared" si="16"/>
        <v/>
      </c>
      <c r="AI11" s="310" t="str">
        <f t="array" ref="AI11">IF(OR(D11="", B11="직접입력", C11="직접입력"),"",INDEX(구분표!$I$2:$I$336, MATCH(1,(구분표!$G$2:$G$336='4. 특입'!B11)*(구분표!$E$2:$E$336='4. 특입'!C11)*(구분표!$F$2:$F$336='4. 특입'!D11),0)))</f>
        <v/>
      </c>
      <c r="AJ11" s="175"/>
      <c r="AK11" s="398" t="str">
        <f>IF($AF11="","",IF($AF11="-",0, SUMIFS('4. 특출'!$AB$6:$AB$2000,'4. 특출'!$AJ$6:$AJ$2000,$AF11)))</f>
        <v/>
      </c>
      <c r="AL11" s="313" t="str">
        <f>IF($AF11="","",IF($AF11="-", 0, COUNTIF('4. 특출'!$AJ$6:$AJ$2000,$AF11)))</f>
        <v/>
      </c>
      <c r="AM11" s="310" t="str">
        <f t="shared" si="17"/>
        <v/>
      </c>
      <c r="AN11" s="175"/>
      <c r="AO11" s="398" t="str">
        <f>IF($AF11="","",IF($AF11="-",0, SUMIFS('4. 특출'!$AF$6:$AF$2000,'4. 특출'!$AJ$6:$AJ$2000,$AF11)))</f>
        <v/>
      </c>
      <c r="AP11" s="313" t="str">
        <f>IF($AF11="","",IF($AF11="-", 0, COUNTIF('4. 특출'!$AJ$6:$AJ$2000,$AF11)))</f>
        <v/>
      </c>
      <c r="AQ11" s="310" t="str">
        <f t="shared" si="18"/>
        <v/>
      </c>
    </row>
    <row r="12" spans="1:43" ht="69.95" customHeight="1">
      <c r="A12" s="122"/>
      <c r="B12" s="664" t="s">
        <v>259</v>
      </c>
      <c r="C12" s="664"/>
      <c r="D12" s="664"/>
      <c r="E12" s="664"/>
      <c r="F12" s="664"/>
      <c r="G12" s="664"/>
      <c r="H12" s="123"/>
      <c r="I12" s="123"/>
      <c r="J12" s="291" t="str">
        <f>SUBTOTAL(3,J13:J16)&amp;"건"</f>
        <v>0건</v>
      </c>
      <c r="K12" s="384">
        <f t="shared" ref="K12:Q12" si="19">SUBTOTAL(9,K13:K16)</f>
        <v>0</v>
      </c>
      <c r="L12" s="384">
        <f t="shared" si="19"/>
        <v>0</v>
      </c>
      <c r="M12" s="384">
        <f t="shared" si="19"/>
        <v>0</v>
      </c>
      <c r="N12" s="384">
        <f t="shared" si="19"/>
        <v>0</v>
      </c>
      <c r="O12" s="384">
        <f t="shared" si="19"/>
        <v>0</v>
      </c>
      <c r="P12" s="384">
        <f t="shared" si="19"/>
        <v>0</v>
      </c>
      <c r="Q12" s="384">
        <f t="shared" si="19"/>
        <v>0</v>
      </c>
      <c r="R12" s="122"/>
      <c r="S12" s="122"/>
      <c r="T12" s="122"/>
      <c r="U12" s="122"/>
      <c r="V12" s="122"/>
      <c r="W12" s="122"/>
      <c r="X12" s="124"/>
      <c r="Y12" s="42"/>
      <c r="Z12" s="384">
        <f>SUBTOTAL(9,Z13:Z16)</f>
        <v>0</v>
      </c>
      <c r="AA12" s="384">
        <f>SUBTOTAL(9,AA13:AA16)</f>
        <v>0</v>
      </c>
      <c r="AB12" s="43"/>
      <c r="AC12" s="384">
        <f>SUBTOTAL(9,AC13:AC16)</f>
        <v>0</v>
      </c>
      <c r="AD12" s="384">
        <f>SUBTOTAL(9,AD13:AD16)</f>
        <v>0</v>
      </c>
      <c r="AE12" s="43"/>
      <c r="AF12" s="122"/>
      <c r="AG12" s="124"/>
      <c r="AH12" s="43"/>
      <c r="AI12" s="124"/>
      <c r="AJ12" s="43"/>
      <c r="AK12" s="384">
        <f>SUBTOTAL(9,AK13:AK16)</f>
        <v>0</v>
      </c>
      <c r="AL12" s="384">
        <f>SUBTOTAL(9,AL13:AL16)</f>
        <v>0</v>
      </c>
      <c r="AM12" s="470" t="str">
        <f>IF(COUNTIF(AM13:AM16,"@@")&gt;0,"@@","OK")</f>
        <v>OK</v>
      </c>
      <c r="AN12" s="43"/>
      <c r="AO12" s="384">
        <f t="shared" ref="AO12" si="20">SUBTOTAL(9,AO13:AO16)</f>
        <v>0</v>
      </c>
      <c r="AP12" s="384">
        <f t="shared" ref="AP12" si="21">SUBTOTAL(9,AP13:AP16)</f>
        <v>0</v>
      </c>
      <c r="AQ12" s="470" t="str">
        <f>IF(COUNTIF(AQ13:AQ16,"@@")&gt;0,"@@","OK")</f>
        <v>OK</v>
      </c>
    </row>
    <row r="13" spans="1:43" s="120" customFormat="1" ht="69.95" customHeight="1">
      <c r="A13" s="115" t="str">
        <f>IF(D13="","",COUNTA($C$7:C13)-COUNTBLANK($C$7:C13)+2)</f>
        <v/>
      </c>
      <c r="B13" s="116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16" t="str">
        <f>IF(D13="","",IF(OR(D13="교육지원과"),"소방재난본부",VLOOKUP(D13,구분표!$A$3:$C$258,3,)))</f>
        <v/>
      </c>
      <c r="D13" s="173"/>
      <c r="E13" s="161"/>
      <c r="F13" s="323" t="str">
        <f>IF($E13="","",IF($E13="2추","직접입력","-"))</f>
        <v/>
      </c>
      <c r="G13" s="323" t="str">
        <f>IF($E13="","",IF($E13="2추","직접입력","-"))</f>
        <v/>
      </c>
      <c r="H13" s="162"/>
      <c r="I13" s="116" t="str">
        <f>IF(H13="","",VLOOKUP($H13,구분표!$O$3:$P$168,2,FALSE))</f>
        <v/>
      </c>
      <c r="J13" s="163"/>
      <c r="K13" s="385" t="str">
        <f>IF($E13="","",IF(OR($E13="2추", $E13="1추", $E13="본예산"), "금액입력", "-"))</f>
        <v/>
      </c>
      <c r="L13" s="385" t="str">
        <f>IF($E13="", "", IF($E13="2추","금액입력", "-"))</f>
        <v/>
      </c>
      <c r="M13" s="387" t="str">
        <f t="shared" ref="M13:M16" si="22">IF($E13="","",SUM(K13:L13))</f>
        <v/>
      </c>
      <c r="N13" s="386"/>
      <c r="O13" s="387">
        <f t="shared" ref="O13:O16" si="23">SUM(M13:N13)</f>
        <v>0</v>
      </c>
      <c r="P13" s="388"/>
      <c r="Q13" s="389">
        <f t="shared" ref="Q13:Q16" si="24">SUM(M13,P13)</f>
        <v>0</v>
      </c>
      <c r="R13" s="118" t="str">
        <f t="shared" ref="R13:R16" si="25">IF(AND((O13=0),(Q13&gt;0)),"O",IF(AND((N13&lt;0),(O13-Q13&lt;0)),"O","X"))</f>
        <v>X</v>
      </c>
      <c r="S13" s="177"/>
      <c r="T13" s="176"/>
      <c r="U13" s="178"/>
      <c r="V13" s="179"/>
      <c r="W13" s="178"/>
      <c r="X13" s="118" t="str">
        <f t="shared" ref="X13:X16" si="26">IF($H13="","",IF(OR($H13="511-01", $H13="511-02", $H13="511-03", $H13="311-02", $H13="311-04", $H13="321-01"),"국비","도비"))</f>
        <v/>
      </c>
      <c r="Y13" s="174"/>
      <c r="Z13" s="420" t="str">
        <f t="shared" ref="Z13:Z16" si="27">IF($X13="", "", IF($X13="국비",$N13, 0))</f>
        <v/>
      </c>
      <c r="AA13" s="420" t="str">
        <f t="shared" ref="AA13:AA16" si="28">IF($X13="", "", IF($X13="도비",$N13, 0))</f>
        <v/>
      </c>
      <c r="AC13" s="420" t="str">
        <f t="shared" ref="AC13:AC16" si="29">IF($X13="", "", IF($X13="국비",$P13, 0))</f>
        <v/>
      </c>
      <c r="AD13" s="420" t="str">
        <f t="shared" ref="AD13:AD16" si="30">IF($X13="", "", IF($X13="도비",$P13, 0))</f>
        <v/>
      </c>
      <c r="AF13" s="310" t="str">
        <f>IF(AI13="","",IF($X13="도비","-",CONCATENATE(AI13,"-",COUNTIF($AI$7:AI13,AI13))))</f>
        <v/>
      </c>
      <c r="AG13" s="310" t="str">
        <f t="shared" ref="AG13:AG16" si="31">IF($H13="","",IF($H13="511-01","국비",IF($H13="511-02","균특",IF($H13="511-03","기금",IF($H13="311-02","특교",IF($H13="311-04","소교",IF($H13="321-01","소멸","도비")))))))</f>
        <v/>
      </c>
      <c r="AI13" s="310" t="str">
        <f t="array" ref="AI13">IF(OR(D13="", B13="직접입력", C13="직접입력"),"",INDEX(구분표!$I$2:$I$336, MATCH(1,(구분표!$G$2:$G$336='4. 특입'!B13)*(구분표!$E$2:$E$336='4. 특입'!C13)*(구분표!$F$2:$F$336='4. 특입'!D13),0)))</f>
        <v/>
      </c>
      <c r="AJ13" s="175"/>
      <c r="AK13" s="398" t="str">
        <f>IF($AF13="","",IF($AF13="-",0, SUMIFS('4. 특출'!$AB$6:$AB$2000,'4. 특출'!$AJ$6:$AJ$2000,$AF13)))</f>
        <v/>
      </c>
      <c r="AL13" s="313" t="str">
        <f>IF($AF13="","",IF($AF13="-", 0, COUNTIF('4. 특출'!$AJ$6:$AJ$2000,$AF13)))</f>
        <v/>
      </c>
      <c r="AM13" s="310" t="str">
        <f t="shared" ref="AM13:AM16" si="32">IF($AF13="", "", IF($Z13=$AK13,"OK","@@"))</f>
        <v/>
      </c>
      <c r="AN13" s="175"/>
      <c r="AO13" s="398" t="str">
        <f>IF($AF13="","",IF($AF13="-",0, SUMIFS('4. 특출'!$AF$6:$AF$2000,'4. 특출'!$AJ$6:$AJ$2000,$AF13)))</f>
        <v/>
      </c>
      <c r="AP13" s="313" t="str">
        <f>IF($AF13="","",IF($AF13="-", 0, COUNTIF('4. 특출'!$AJ$6:$AJ$2000,$AF13)))</f>
        <v/>
      </c>
      <c r="AQ13" s="310" t="str">
        <f t="shared" ref="AQ13:AQ16" si="33">IF($AF13="", "", IF($AC13=$AO13,"OK","@@"))</f>
        <v/>
      </c>
    </row>
    <row r="14" spans="1:43" s="120" customFormat="1" ht="69.95" customHeight="1">
      <c r="A14" s="115" t="str">
        <f>IF(D14="","",COUNTA($C$7:C14)-COUNTBLANK($C$7:C14)+2)</f>
        <v/>
      </c>
      <c r="B14" s="116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16" t="str">
        <f>IF(D14="","",IF(OR(D14="교육지원과"),"소방재난본부",VLOOKUP(D14,구분표!$A$3:$C$258,3,)))</f>
        <v/>
      </c>
      <c r="D14" s="173"/>
      <c r="E14" s="161"/>
      <c r="F14" s="323" t="str">
        <f t="shared" ref="F14:G16" si="34">IF($E14="","",IF($E14="2추","직접입력","-"))</f>
        <v/>
      </c>
      <c r="G14" s="323" t="str">
        <f t="shared" si="34"/>
        <v/>
      </c>
      <c r="H14" s="162"/>
      <c r="I14" s="116" t="str">
        <f>IF(H14="","",VLOOKUP($H14,구분표!$O$3:$P$168,2,FALSE))</f>
        <v/>
      </c>
      <c r="J14" s="163"/>
      <c r="K14" s="385" t="str">
        <f t="shared" ref="K14:K16" si="35">IF($E14="","",IF(OR($E14="2추", $E14="1추", $E14="본예산"), "금액입력", "-"))</f>
        <v/>
      </c>
      <c r="L14" s="385" t="str">
        <f t="shared" ref="L14:L16" si="36">IF($E14="", "", IF($E14="2추","금액입력", "-"))</f>
        <v/>
      </c>
      <c r="M14" s="387" t="str">
        <f t="shared" si="22"/>
        <v/>
      </c>
      <c r="N14" s="386"/>
      <c r="O14" s="387">
        <f t="shared" si="23"/>
        <v>0</v>
      </c>
      <c r="P14" s="388"/>
      <c r="Q14" s="389">
        <f t="shared" si="24"/>
        <v>0</v>
      </c>
      <c r="R14" s="118" t="str">
        <f t="shared" si="25"/>
        <v>X</v>
      </c>
      <c r="S14" s="177"/>
      <c r="T14" s="176"/>
      <c r="U14" s="178"/>
      <c r="V14" s="179"/>
      <c r="W14" s="178"/>
      <c r="X14" s="118" t="str">
        <f t="shared" si="26"/>
        <v/>
      </c>
      <c r="Y14" s="174"/>
      <c r="Z14" s="420" t="str">
        <f t="shared" si="27"/>
        <v/>
      </c>
      <c r="AA14" s="420" t="str">
        <f t="shared" si="28"/>
        <v/>
      </c>
      <c r="AC14" s="420" t="str">
        <f t="shared" si="29"/>
        <v/>
      </c>
      <c r="AD14" s="420" t="str">
        <f t="shared" si="30"/>
        <v/>
      </c>
      <c r="AF14" s="310" t="str">
        <f>IF(AI14="","",IF($X14="도비","-",CONCATENATE(AI14,"-",COUNTIF($AI$7:AI14,AI14))))</f>
        <v/>
      </c>
      <c r="AG14" s="310" t="str">
        <f t="shared" si="31"/>
        <v/>
      </c>
      <c r="AI14" s="310" t="str">
        <f t="array" ref="AI14">IF(OR(D14="", B14="직접입력", C14="직접입력"),"",INDEX(구분표!$I$2:$I$336, MATCH(1,(구분표!$G$2:$G$336='4. 특입'!B14)*(구분표!$E$2:$E$336='4. 특입'!C14)*(구분표!$F$2:$F$336='4. 특입'!D14),0)))</f>
        <v/>
      </c>
      <c r="AJ14" s="175"/>
      <c r="AK14" s="398" t="str">
        <f>IF($AF14="","",IF($AF14="-",0, SUMIFS('4. 특출'!$AB$6:$AB$2000,'4. 특출'!$AJ$6:$AJ$2000,$AF14)))</f>
        <v/>
      </c>
      <c r="AL14" s="313" t="str">
        <f>IF($AF14="","",IF($AF14="-", 0, COUNTIF('4. 특출'!$AJ$6:$AJ$2000,$AF14)))</f>
        <v/>
      </c>
      <c r="AM14" s="310" t="str">
        <f t="shared" si="32"/>
        <v/>
      </c>
      <c r="AN14" s="175"/>
      <c r="AO14" s="398" t="str">
        <f>IF($AF14="","",IF($AF14="-",0, SUMIFS('4. 특출'!$AF$6:$AF$2000,'4. 특출'!$AJ$6:$AJ$2000,$AF14)))</f>
        <v/>
      </c>
      <c r="AP14" s="313" t="str">
        <f>IF($AF14="","",IF($AF14="-", 0, COUNTIF('4. 특출'!$AJ$6:$AJ$2000,$AF14)))</f>
        <v/>
      </c>
      <c r="AQ14" s="310" t="str">
        <f t="shared" si="33"/>
        <v/>
      </c>
    </row>
    <row r="15" spans="1:43" s="120" customFormat="1" ht="69.95" customHeight="1">
      <c r="A15" s="115" t="str">
        <f>IF(D15="","",COUNTA($C$7:C15)-COUNTBLANK($C$7:C15)+2)</f>
        <v/>
      </c>
      <c r="B15" s="116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16" t="str">
        <f>IF(D15="","",IF(OR(D15="교육지원과"),"소방재난본부",VLOOKUP(D15,구분표!$A$3:$C$258,3,)))</f>
        <v/>
      </c>
      <c r="D15" s="173"/>
      <c r="E15" s="161"/>
      <c r="F15" s="323" t="str">
        <f t="shared" si="34"/>
        <v/>
      </c>
      <c r="G15" s="323" t="str">
        <f t="shared" si="34"/>
        <v/>
      </c>
      <c r="H15" s="162"/>
      <c r="I15" s="116" t="str">
        <f>IF(H15="","",VLOOKUP($H15,구분표!$O$3:$P$168,2,FALSE))</f>
        <v/>
      </c>
      <c r="J15" s="163"/>
      <c r="K15" s="385" t="str">
        <f t="shared" si="35"/>
        <v/>
      </c>
      <c r="L15" s="385" t="str">
        <f t="shared" si="36"/>
        <v/>
      </c>
      <c r="M15" s="387" t="str">
        <f t="shared" si="22"/>
        <v/>
      </c>
      <c r="N15" s="386"/>
      <c r="O15" s="387">
        <f t="shared" si="23"/>
        <v>0</v>
      </c>
      <c r="P15" s="388"/>
      <c r="Q15" s="389">
        <f t="shared" si="24"/>
        <v>0</v>
      </c>
      <c r="R15" s="118" t="str">
        <f t="shared" si="25"/>
        <v>X</v>
      </c>
      <c r="S15" s="177"/>
      <c r="T15" s="176"/>
      <c r="U15" s="178"/>
      <c r="V15" s="179"/>
      <c r="W15" s="178"/>
      <c r="X15" s="118" t="str">
        <f t="shared" si="26"/>
        <v/>
      </c>
      <c r="Y15" s="174"/>
      <c r="Z15" s="420" t="str">
        <f t="shared" si="27"/>
        <v/>
      </c>
      <c r="AA15" s="420" t="str">
        <f t="shared" si="28"/>
        <v/>
      </c>
      <c r="AC15" s="420" t="str">
        <f t="shared" si="29"/>
        <v/>
      </c>
      <c r="AD15" s="420" t="str">
        <f t="shared" si="30"/>
        <v/>
      </c>
      <c r="AF15" s="310" t="str">
        <f>IF(AI15="","",IF($X15="도비","-",CONCATENATE(AI15,"-",COUNTIF($AI$7:AI15,AI15))))</f>
        <v/>
      </c>
      <c r="AG15" s="310" t="str">
        <f t="shared" si="31"/>
        <v/>
      </c>
      <c r="AI15" s="310" t="str">
        <f t="array" ref="AI15">IF(OR(D15="", B15="직접입력", C15="직접입력"),"",INDEX(구분표!$I$2:$I$336, MATCH(1,(구분표!$G$2:$G$336='4. 특입'!B15)*(구분표!$E$2:$E$336='4. 특입'!C15)*(구분표!$F$2:$F$336='4. 특입'!D15),0)))</f>
        <v/>
      </c>
      <c r="AJ15" s="175"/>
      <c r="AK15" s="398" t="str">
        <f>IF($AF15="","",IF($AF15="-",0, SUMIFS('4. 특출'!$AB$6:$AB$2000,'4. 특출'!$AJ$6:$AJ$2000,$AF15)))</f>
        <v/>
      </c>
      <c r="AL15" s="313" t="str">
        <f>IF($AF15="","",IF($AF15="-", 0, COUNTIF('4. 특출'!$AJ$6:$AJ$2000,$AF15)))</f>
        <v/>
      </c>
      <c r="AM15" s="310" t="str">
        <f t="shared" si="32"/>
        <v/>
      </c>
      <c r="AN15" s="175"/>
      <c r="AO15" s="398" t="str">
        <f>IF($AF15="","",IF($AF15="-",0, SUMIFS('4. 특출'!$AF$6:$AF$2000,'4. 특출'!$AJ$6:$AJ$2000,$AF15)))</f>
        <v/>
      </c>
      <c r="AP15" s="313" t="str">
        <f>IF($AF15="","",IF($AF15="-", 0, COUNTIF('4. 특출'!$AJ$6:$AJ$2000,$AF15)))</f>
        <v/>
      </c>
      <c r="AQ15" s="310" t="str">
        <f t="shared" si="33"/>
        <v/>
      </c>
    </row>
    <row r="16" spans="1:43" s="120" customFormat="1" ht="69.95" customHeight="1">
      <c r="A16" s="115" t="str">
        <f>IF(D16="","",COUNTA($C$7:C16)-COUNTBLANK($C$7:C16)+2)</f>
        <v/>
      </c>
      <c r="B16" s="116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16" t="str">
        <f>IF(D16="","",IF(OR(D16="교육지원과"),"소방재난본부",VLOOKUP(D16,구분표!$A$3:$C$258,3,)))</f>
        <v/>
      </c>
      <c r="D16" s="173"/>
      <c r="E16" s="161"/>
      <c r="F16" s="323" t="str">
        <f t="shared" si="34"/>
        <v/>
      </c>
      <c r="G16" s="323" t="str">
        <f t="shared" si="34"/>
        <v/>
      </c>
      <c r="H16" s="162"/>
      <c r="I16" s="116" t="str">
        <f>IF(H16="","",VLOOKUP($H16,구분표!$O$3:$P$168,2,FALSE))</f>
        <v/>
      </c>
      <c r="J16" s="163"/>
      <c r="K16" s="385" t="str">
        <f t="shared" si="35"/>
        <v/>
      </c>
      <c r="L16" s="385" t="str">
        <f t="shared" si="36"/>
        <v/>
      </c>
      <c r="M16" s="387" t="str">
        <f t="shared" si="22"/>
        <v/>
      </c>
      <c r="N16" s="386"/>
      <c r="O16" s="387">
        <f t="shared" si="23"/>
        <v>0</v>
      </c>
      <c r="P16" s="388"/>
      <c r="Q16" s="389">
        <f t="shared" si="24"/>
        <v>0</v>
      </c>
      <c r="R16" s="118" t="str">
        <f t="shared" si="25"/>
        <v>X</v>
      </c>
      <c r="S16" s="177"/>
      <c r="T16" s="176"/>
      <c r="U16" s="178"/>
      <c r="V16" s="179"/>
      <c r="W16" s="178"/>
      <c r="X16" s="118" t="str">
        <f t="shared" si="26"/>
        <v/>
      </c>
      <c r="Y16" s="174"/>
      <c r="Z16" s="420" t="str">
        <f t="shared" si="27"/>
        <v/>
      </c>
      <c r="AA16" s="420" t="str">
        <f t="shared" si="28"/>
        <v/>
      </c>
      <c r="AC16" s="420" t="str">
        <f t="shared" si="29"/>
        <v/>
      </c>
      <c r="AD16" s="420" t="str">
        <f t="shared" si="30"/>
        <v/>
      </c>
      <c r="AF16" s="310" t="str">
        <f>IF(AI16="","",IF($X16="도비","-",CONCATENATE(AI16,"-",COUNTIF($AI$7:AI16,AI16))))</f>
        <v/>
      </c>
      <c r="AG16" s="310" t="str">
        <f t="shared" si="31"/>
        <v/>
      </c>
      <c r="AI16" s="310" t="str">
        <f t="array" ref="AI16">IF(OR(D16="", B16="직접입력", C16="직접입력"),"",INDEX(구분표!$I$2:$I$336, MATCH(1,(구분표!$G$2:$G$336='4. 특입'!B16)*(구분표!$E$2:$E$336='4. 특입'!C16)*(구분표!$F$2:$F$336='4. 특입'!D16),0)))</f>
        <v/>
      </c>
      <c r="AJ16" s="175"/>
      <c r="AK16" s="398" t="str">
        <f>IF($AF16="","",IF($AF16="-",0, SUMIFS('4. 특출'!$AB$6:$AB$2000,'4. 특출'!$AJ$6:$AJ$2000,$AF16)))</f>
        <v/>
      </c>
      <c r="AL16" s="313" t="str">
        <f>IF($AF16="","",IF($AF16="-", 0, COUNTIF('4. 특출'!$AJ$6:$AJ$2000,$AF16)))</f>
        <v/>
      </c>
      <c r="AM16" s="310" t="str">
        <f t="shared" si="32"/>
        <v/>
      </c>
      <c r="AN16" s="175"/>
      <c r="AO16" s="398" t="str">
        <f>IF($AF16="","",IF($AF16="-",0, SUMIFS('4. 특출'!$AF$6:$AF$2000,'4. 특출'!$AJ$6:$AJ$2000,$AF16)))</f>
        <v/>
      </c>
      <c r="AP16" s="313" t="str">
        <f>IF($AF16="","",IF($AF16="-", 0, COUNTIF('4. 특출'!$AJ$6:$AJ$2000,$AF16)))</f>
        <v/>
      </c>
      <c r="AQ16" s="310" t="str">
        <f t="shared" si="33"/>
        <v/>
      </c>
    </row>
    <row r="17" spans="1:43" ht="69.95" customHeight="1">
      <c r="A17" s="122"/>
      <c r="B17" s="664" t="s">
        <v>762</v>
      </c>
      <c r="C17" s="664"/>
      <c r="D17" s="664"/>
      <c r="E17" s="664"/>
      <c r="F17" s="664"/>
      <c r="G17" s="664"/>
      <c r="H17" s="123"/>
      <c r="I17" s="123"/>
      <c r="J17" s="291" t="str">
        <f>SUBTOTAL(3,J18:J21)&amp;"건"</f>
        <v>0건</v>
      </c>
      <c r="K17" s="384">
        <f t="shared" ref="K17:Q17" si="37">SUBTOTAL(9,K18:K21)</f>
        <v>0</v>
      </c>
      <c r="L17" s="384">
        <f t="shared" si="37"/>
        <v>0</v>
      </c>
      <c r="M17" s="384">
        <f t="shared" si="37"/>
        <v>0</v>
      </c>
      <c r="N17" s="384">
        <f t="shared" si="37"/>
        <v>0</v>
      </c>
      <c r="O17" s="384">
        <f t="shared" si="37"/>
        <v>0</v>
      </c>
      <c r="P17" s="384">
        <f t="shared" si="37"/>
        <v>0</v>
      </c>
      <c r="Q17" s="384">
        <f t="shared" si="37"/>
        <v>0</v>
      </c>
      <c r="R17" s="122"/>
      <c r="S17" s="122"/>
      <c r="T17" s="122"/>
      <c r="U17" s="122"/>
      <c r="V17" s="122"/>
      <c r="W17" s="122"/>
      <c r="X17" s="124"/>
      <c r="Y17" s="42"/>
      <c r="Z17" s="384">
        <f>SUBTOTAL(9,Z18:Z21)</f>
        <v>0</v>
      </c>
      <c r="AA17" s="384">
        <f>SUBTOTAL(9,AA18:AA21)</f>
        <v>0</v>
      </c>
      <c r="AB17" s="43"/>
      <c r="AC17" s="384">
        <f>SUBTOTAL(9,AC18:AC21)</f>
        <v>0</v>
      </c>
      <c r="AD17" s="384">
        <f>SUBTOTAL(9,AD18:AD21)</f>
        <v>0</v>
      </c>
      <c r="AE17" s="43"/>
      <c r="AF17" s="122"/>
      <c r="AG17" s="124"/>
      <c r="AH17" s="43"/>
      <c r="AI17" s="124"/>
      <c r="AJ17" s="43"/>
      <c r="AK17" s="384">
        <f>SUBTOTAL(9,AK18:AK21)</f>
        <v>0</v>
      </c>
      <c r="AL17" s="384">
        <f>SUBTOTAL(9,AL18:AL21)</f>
        <v>0</v>
      </c>
      <c r="AM17" s="470" t="str">
        <f>IF(COUNTIF(AM18:AM21,"@@")&gt;0,"@@","OK")</f>
        <v>OK</v>
      </c>
      <c r="AN17" s="43"/>
      <c r="AO17" s="384">
        <f t="shared" ref="AO17" si="38">SUBTOTAL(9,AO18:AO21)</f>
        <v>0</v>
      </c>
      <c r="AP17" s="384">
        <f t="shared" ref="AP17" si="39">SUBTOTAL(9,AP18:AP21)</f>
        <v>0</v>
      </c>
      <c r="AQ17" s="470" t="str">
        <f>IF(COUNTIF(AQ18:AQ21,"@@")&gt;0,"@@","OK")</f>
        <v>OK</v>
      </c>
    </row>
    <row r="18" spans="1:43" s="120" customFormat="1" ht="69.95" customHeight="1">
      <c r="A18" s="115" t="str">
        <f>IF(D18="","",COUNTA($C$7:C18)-COUNTBLANK($C$7:C18)+3)</f>
        <v/>
      </c>
      <c r="B18" s="116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16" t="str">
        <f>IF(D18="","",IF(OR(D18="교육지원과"),"소방재난본부",VLOOKUP(D18,구분표!$A$3:$C$258,3,)))</f>
        <v/>
      </c>
      <c r="D18" s="173"/>
      <c r="E18" s="161"/>
      <c r="F18" s="323" t="str">
        <f>IF($E18="","",IF($E18="2추","직접입력","-"))</f>
        <v/>
      </c>
      <c r="G18" s="323" t="str">
        <f>IF($E18="","",IF($E18="2추","직접입력","-"))</f>
        <v/>
      </c>
      <c r="H18" s="162"/>
      <c r="I18" s="116" t="str">
        <f>IF(H18="","",VLOOKUP($H18,구분표!$O$3:$P$168,2,FALSE))</f>
        <v/>
      </c>
      <c r="J18" s="163"/>
      <c r="K18" s="385" t="str">
        <f>IF($E18="","",IF(OR($E18="2추", $E18="1추", $E18="본예산"), "금액입력", "-"))</f>
        <v/>
      </c>
      <c r="L18" s="385" t="str">
        <f>IF($E18="", "", IF($E18="2추","금액입력", "-"))</f>
        <v/>
      </c>
      <c r="M18" s="387" t="str">
        <f t="shared" ref="M18:M21" si="40">IF($E18="","",SUM(K18:L18))</f>
        <v/>
      </c>
      <c r="N18" s="386"/>
      <c r="O18" s="387">
        <f t="shared" ref="O18:O21" si="41">SUM(M18:N18)</f>
        <v>0</v>
      </c>
      <c r="P18" s="388"/>
      <c r="Q18" s="389">
        <f t="shared" ref="Q18:Q21" si="42">SUM(M18,P18)</f>
        <v>0</v>
      </c>
      <c r="R18" s="118" t="str">
        <f t="shared" ref="R18:R21" si="43">IF(AND((O18=0),(Q18&gt;0)),"O",IF(AND((N18&lt;0),(O18-Q18&lt;0)),"O","X"))</f>
        <v>X</v>
      </c>
      <c r="S18" s="177"/>
      <c r="T18" s="176"/>
      <c r="U18" s="178"/>
      <c r="V18" s="179"/>
      <c r="W18" s="178"/>
      <c r="X18" s="118" t="str">
        <f t="shared" ref="X18:X21" si="44">IF($H18="","",IF(OR($H18="511-01", $H18="511-02", $H18="511-03", $H18="311-02", $H18="311-04", $H18="321-01"),"국비","도비"))</f>
        <v/>
      </c>
      <c r="Y18" s="174"/>
      <c r="Z18" s="420" t="str">
        <f t="shared" ref="Z18:Z21" si="45">IF($X18="", "", IF($X18="국비",$N18, 0))</f>
        <v/>
      </c>
      <c r="AA18" s="420" t="str">
        <f t="shared" ref="AA18:AA21" si="46">IF($X18="", "", IF($X18="도비",$N18, 0))</f>
        <v/>
      </c>
      <c r="AC18" s="420" t="str">
        <f t="shared" ref="AC18:AC21" si="47">IF($X18="", "", IF($X18="국비",$P18, 0))</f>
        <v/>
      </c>
      <c r="AD18" s="420" t="str">
        <f t="shared" ref="AD18:AD21" si="48">IF($X18="", "", IF($X18="도비",$P18, 0))</f>
        <v/>
      </c>
      <c r="AF18" s="310" t="str">
        <f>IF(AI18="","",IF($X18="도비","-",CONCATENATE(AI18,"-",COUNTIF($AI$7:AI18,AI18))))</f>
        <v/>
      </c>
      <c r="AG18" s="310" t="str">
        <f t="shared" ref="AG18:AG21" si="49">IF($H18="","",IF($H18="511-01","국비",IF($H18="511-02","균특",IF($H18="511-03","기금",IF($H18="311-02","특교",IF($H18="311-04","소교",IF($H18="321-01","소멸","도비")))))))</f>
        <v/>
      </c>
      <c r="AI18" s="310" t="str">
        <f t="array" ref="AI18">IF(OR(D18="", B18="직접입력", C18="직접입력"),"",INDEX(구분표!$I$2:$I$336, MATCH(1,(구분표!$G$2:$G$336='4. 특입'!B18)*(구분표!$E$2:$E$336='4. 특입'!C18)*(구분표!$F$2:$F$336='4. 특입'!D18),0)))</f>
        <v/>
      </c>
      <c r="AJ18" s="175"/>
      <c r="AK18" s="398" t="str">
        <f>IF($AF18="","",IF($AF18="-",0, SUMIFS('4. 특출'!$AB$6:$AB$2000,'4. 특출'!$AJ$6:$AJ$2000,$AF18)))</f>
        <v/>
      </c>
      <c r="AL18" s="313" t="str">
        <f>IF($AF18="","",IF($AF18="-", 0, COUNTIF('4. 특출'!$AJ$6:$AJ$2000,$AF18)))</f>
        <v/>
      </c>
      <c r="AM18" s="310" t="str">
        <f t="shared" ref="AM18:AM21" si="50">IF($AF18="", "", IF($Z18=$AK18,"OK","@@"))</f>
        <v/>
      </c>
      <c r="AN18" s="175"/>
      <c r="AO18" s="398" t="str">
        <f>IF($AF18="","",IF($AF18="-",0, SUMIFS('4. 특출'!$AF$6:$AF$2000,'4. 특출'!$AJ$6:$AJ$2000,$AF18)))</f>
        <v/>
      </c>
      <c r="AP18" s="313" t="str">
        <f>IF($AF18="","",IF($AF18="-", 0, COUNTIF('4. 특출'!$AJ$6:$AJ$2000,$AF18)))</f>
        <v/>
      </c>
      <c r="AQ18" s="310" t="str">
        <f t="shared" ref="AQ18:AQ21" si="51">IF($AF18="", "", IF($AC18=$AO18,"OK","@@"))</f>
        <v/>
      </c>
    </row>
    <row r="19" spans="1:43" s="120" customFormat="1" ht="69.95" customHeight="1">
      <c r="A19" s="115" t="str">
        <f>IF(D19="","",COUNTA($C$7:C19)-COUNTBLANK($C$7:C19)+3)</f>
        <v/>
      </c>
      <c r="B19" s="116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16" t="str">
        <f>IF(D19="","",IF(OR(D19="교육지원과"),"소방재난본부",VLOOKUP(D19,구분표!$A$3:$C$258,3,)))</f>
        <v/>
      </c>
      <c r="D19" s="173"/>
      <c r="E19" s="161"/>
      <c r="F19" s="323" t="str">
        <f t="shared" ref="F19:G21" si="52">IF($E19="","",IF($E19="2추","직접입력","-"))</f>
        <v/>
      </c>
      <c r="G19" s="323" t="str">
        <f t="shared" si="52"/>
        <v/>
      </c>
      <c r="H19" s="162"/>
      <c r="I19" s="116" t="str">
        <f>IF(H19="","",VLOOKUP($H19,구분표!$O$3:$P$168,2,FALSE))</f>
        <v/>
      </c>
      <c r="J19" s="163"/>
      <c r="K19" s="385" t="str">
        <f t="shared" ref="K19:K21" si="53">IF($E19="","",IF(OR($E19="2추", $E19="1추", $E19="본예산"), "금액입력", "-"))</f>
        <v/>
      </c>
      <c r="L19" s="385" t="str">
        <f t="shared" ref="L19:L21" si="54">IF($E19="", "", IF($E19="2추","금액입력", "-"))</f>
        <v/>
      </c>
      <c r="M19" s="387" t="str">
        <f t="shared" si="40"/>
        <v/>
      </c>
      <c r="N19" s="386"/>
      <c r="O19" s="387">
        <f t="shared" si="41"/>
        <v>0</v>
      </c>
      <c r="P19" s="388"/>
      <c r="Q19" s="389">
        <f t="shared" si="42"/>
        <v>0</v>
      </c>
      <c r="R19" s="118" t="str">
        <f t="shared" si="43"/>
        <v>X</v>
      </c>
      <c r="S19" s="177"/>
      <c r="T19" s="176"/>
      <c r="U19" s="178"/>
      <c r="V19" s="179"/>
      <c r="W19" s="178"/>
      <c r="X19" s="118" t="str">
        <f t="shared" si="44"/>
        <v/>
      </c>
      <c r="Y19" s="174"/>
      <c r="Z19" s="420" t="str">
        <f t="shared" si="45"/>
        <v/>
      </c>
      <c r="AA19" s="420" t="str">
        <f t="shared" si="46"/>
        <v/>
      </c>
      <c r="AC19" s="420" t="str">
        <f t="shared" si="47"/>
        <v/>
      </c>
      <c r="AD19" s="420" t="str">
        <f t="shared" si="48"/>
        <v/>
      </c>
      <c r="AF19" s="310" t="str">
        <f>IF(AI19="","",IF($X19="도비","-",CONCATENATE(AI19,"-",COUNTIF($AI$7:AI19,AI19))))</f>
        <v/>
      </c>
      <c r="AG19" s="310" t="str">
        <f t="shared" si="49"/>
        <v/>
      </c>
      <c r="AI19" s="310" t="str">
        <f t="array" ref="AI19">IF(OR(D19="", B19="직접입력", C19="직접입력"),"",INDEX(구분표!$I$2:$I$336, MATCH(1,(구분표!$G$2:$G$336='4. 특입'!B19)*(구분표!$E$2:$E$336='4. 특입'!C19)*(구분표!$F$2:$F$336='4. 특입'!D19),0)))</f>
        <v/>
      </c>
      <c r="AJ19" s="175"/>
      <c r="AK19" s="398" t="str">
        <f>IF($AF19="","",IF($AF19="-",0, SUMIFS('4. 특출'!$AB$6:$AB$2000,'4. 특출'!$AJ$6:$AJ$2000,$AF19)))</f>
        <v/>
      </c>
      <c r="AL19" s="313" t="str">
        <f>IF($AF19="","",IF($AF19="-", 0, COUNTIF('4. 특출'!$AJ$6:$AJ$2000,$AF19)))</f>
        <v/>
      </c>
      <c r="AM19" s="310" t="str">
        <f t="shared" si="50"/>
        <v/>
      </c>
      <c r="AN19" s="175"/>
      <c r="AO19" s="398" t="str">
        <f>IF($AF19="","",IF($AF19="-",0, SUMIFS('4. 특출'!$AF$6:$AF$2000,'4. 특출'!$AJ$6:$AJ$2000,$AF19)))</f>
        <v/>
      </c>
      <c r="AP19" s="313" t="str">
        <f>IF($AF19="","",IF($AF19="-", 0, COUNTIF('4. 특출'!$AJ$6:$AJ$2000,$AF19)))</f>
        <v/>
      </c>
      <c r="AQ19" s="310" t="str">
        <f t="shared" si="51"/>
        <v/>
      </c>
    </row>
    <row r="20" spans="1:43" s="120" customFormat="1" ht="69.95" customHeight="1">
      <c r="A20" s="115" t="str">
        <f>IF(D20="","",COUNTA($C$7:C20)-COUNTBLANK($C$7:C20)+3)</f>
        <v/>
      </c>
      <c r="B20" s="116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16" t="str">
        <f>IF(D20="","",IF(OR(D20="교육지원과"),"소방재난본부",VLOOKUP(D20,구분표!$A$3:$C$258,3,)))</f>
        <v/>
      </c>
      <c r="D20" s="173"/>
      <c r="E20" s="161"/>
      <c r="F20" s="323" t="str">
        <f t="shared" si="52"/>
        <v/>
      </c>
      <c r="G20" s="323" t="str">
        <f t="shared" si="52"/>
        <v/>
      </c>
      <c r="H20" s="162"/>
      <c r="I20" s="116" t="str">
        <f>IF(H20="","",VLOOKUP($H20,구분표!$O$3:$P$168,2,FALSE))</f>
        <v/>
      </c>
      <c r="J20" s="163"/>
      <c r="K20" s="385" t="str">
        <f t="shared" si="53"/>
        <v/>
      </c>
      <c r="L20" s="385" t="str">
        <f t="shared" si="54"/>
        <v/>
      </c>
      <c r="M20" s="387" t="str">
        <f t="shared" si="40"/>
        <v/>
      </c>
      <c r="N20" s="386"/>
      <c r="O20" s="387">
        <f t="shared" si="41"/>
        <v>0</v>
      </c>
      <c r="P20" s="388"/>
      <c r="Q20" s="389">
        <f t="shared" si="42"/>
        <v>0</v>
      </c>
      <c r="R20" s="118" t="str">
        <f t="shared" si="43"/>
        <v>X</v>
      </c>
      <c r="S20" s="177"/>
      <c r="T20" s="176"/>
      <c r="U20" s="178"/>
      <c r="V20" s="179"/>
      <c r="W20" s="178"/>
      <c r="X20" s="118" t="str">
        <f t="shared" si="44"/>
        <v/>
      </c>
      <c r="Y20" s="174"/>
      <c r="Z20" s="420" t="str">
        <f t="shared" si="45"/>
        <v/>
      </c>
      <c r="AA20" s="420" t="str">
        <f t="shared" si="46"/>
        <v/>
      </c>
      <c r="AC20" s="420" t="str">
        <f t="shared" si="47"/>
        <v/>
      </c>
      <c r="AD20" s="420" t="str">
        <f t="shared" si="48"/>
        <v/>
      </c>
      <c r="AF20" s="310" t="str">
        <f>IF(AI20="","",IF($X20="도비","-",CONCATENATE(AI20,"-",COUNTIF($AI$7:AI20,AI20))))</f>
        <v/>
      </c>
      <c r="AG20" s="310" t="str">
        <f t="shared" si="49"/>
        <v/>
      </c>
      <c r="AI20" s="310" t="str">
        <f t="array" ref="AI20">IF(OR(D20="", B20="직접입력", C20="직접입력"),"",INDEX(구분표!$I$2:$I$336, MATCH(1,(구분표!$G$2:$G$336='4. 특입'!B20)*(구분표!$E$2:$E$336='4. 특입'!C20)*(구분표!$F$2:$F$336='4. 특입'!D20),0)))</f>
        <v/>
      </c>
      <c r="AJ20" s="175"/>
      <c r="AK20" s="398" t="str">
        <f>IF($AF20="","",IF($AF20="-",0, SUMIFS('4. 특출'!$AB$6:$AB$2000,'4. 특출'!$AJ$6:$AJ$2000,$AF20)))</f>
        <v/>
      </c>
      <c r="AL20" s="313" t="str">
        <f>IF($AF20="","",IF($AF20="-", 0, COUNTIF('4. 특출'!$AJ$6:$AJ$2000,$AF20)))</f>
        <v/>
      </c>
      <c r="AM20" s="310" t="str">
        <f t="shared" si="50"/>
        <v/>
      </c>
      <c r="AN20" s="175"/>
      <c r="AO20" s="398" t="str">
        <f>IF($AF20="","",IF($AF20="-",0, SUMIFS('4. 특출'!$AF$6:$AF$2000,'4. 특출'!$AJ$6:$AJ$2000,$AF20)))</f>
        <v/>
      </c>
      <c r="AP20" s="313" t="str">
        <f>IF($AF20="","",IF($AF20="-", 0, COUNTIF('4. 특출'!$AJ$6:$AJ$2000,$AF20)))</f>
        <v/>
      </c>
      <c r="AQ20" s="310" t="str">
        <f t="shared" si="51"/>
        <v/>
      </c>
    </row>
    <row r="21" spans="1:43" s="120" customFormat="1" ht="69.95" customHeight="1">
      <c r="A21" s="115" t="str">
        <f>IF(D21="","",COUNTA($C$7:C21)-COUNTBLANK($C$7:C21)+3)</f>
        <v/>
      </c>
      <c r="B21" s="116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16" t="str">
        <f>IF(D21="","",IF(OR(D21="교육지원과"),"소방재난본부",VLOOKUP(D21,구분표!$A$3:$C$258,3,)))</f>
        <v/>
      </c>
      <c r="D21" s="173"/>
      <c r="E21" s="161"/>
      <c r="F21" s="323" t="str">
        <f t="shared" si="52"/>
        <v/>
      </c>
      <c r="G21" s="323" t="str">
        <f t="shared" si="52"/>
        <v/>
      </c>
      <c r="H21" s="162"/>
      <c r="I21" s="116" t="str">
        <f>IF(H21="","",VLOOKUP($H21,구분표!$O$3:$P$168,2,FALSE))</f>
        <v/>
      </c>
      <c r="J21" s="163"/>
      <c r="K21" s="385" t="str">
        <f t="shared" si="53"/>
        <v/>
      </c>
      <c r="L21" s="385" t="str">
        <f t="shared" si="54"/>
        <v/>
      </c>
      <c r="M21" s="387" t="str">
        <f t="shared" si="40"/>
        <v/>
      </c>
      <c r="N21" s="386"/>
      <c r="O21" s="387">
        <f t="shared" si="41"/>
        <v>0</v>
      </c>
      <c r="P21" s="388"/>
      <c r="Q21" s="389">
        <f t="shared" si="42"/>
        <v>0</v>
      </c>
      <c r="R21" s="118" t="str">
        <f t="shared" si="43"/>
        <v>X</v>
      </c>
      <c r="S21" s="177"/>
      <c r="T21" s="176"/>
      <c r="U21" s="178"/>
      <c r="V21" s="179"/>
      <c r="W21" s="178"/>
      <c r="X21" s="118" t="str">
        <f t="shared" si="44"/>
        <v/>
      </c>
      <c r="Y21" s="174"/>
      <c r="Z21" s="420" t="str">
        <f t="shared" si="45"/>
        <v/>
      </c>
      <c r="AA21" s="420" t="str">
        <f t="shared" si="46"/>
        <v/>
      </c>
      <c r="AC21" s="420" t="str">
        <f t="shared" si="47"/>
        <v/>
      </c>
      <c r="AD21" s="420" t="str">
        <f t="shared" si="48"/>
        <v/>
      </c>
      <c r="AF21" s="310" t="str">
        <f>IF(AI21="","",IF($X21="도비","-",CONCATENATE(AI21,"-",COUNTIF($AI$7:AI21,AI21))))</f>
        <v/>
      </c>
      <c r="AG21" s="310" t="str">
        <f t="shared" si="49"/>
        <v/>
      </c>
      <c r="AI21" s="310" t="str">
        <f t="array" ref="AI21">IF(OR(D21="", B21="직접입력", C21="직접입력"),"",INDEX(구분표!$I$2:$I$336, MATCH(1,(구분표!$G$2:$G$336='4. 특입'!B21)*(구분표!$E$2:$E$336='4. 특입'!C21)*(구분표!$F$2:$F$336='4. 특입'!D21),0)))</f>
        <v/>
      </c>
      <c r="AJ21" s="175"/>
      <c r="AK21" s="398" t="str">
        <f>IF($AF21="","",IF($AF21="-",0, SUMIFS('4. 특출'!$AB$6:$AB$2000,'4. 특출'!$AJ$6:$AJ$2000,$AF21)))</f>
        <v/>
      </c>
      <c r="AL21" s="313" t="str">
        <f>IF($AF21="","",IF($AF21="-", 0, COUNTIF('4. 특출'!$AJ$6:$AJ$2000,$AF21)))</f>
        <v/>
      </c>
      <c r="AM21" s="310" t="str">
        <f t="shared" si="50"/>
        <v/>
      </c>
      <c r="AN21" s="175"/>
      <c r="AO21" s="398" t="str">
        <f>IF($AF21="","",IF($AF21="-",0, SUMIFS('4. 특출'!$AF$6:$AF$2000,'4. 특출'!$AJ$6:$AJ$2000,$AF21)))</f>
        <v/>
      </c>
      <c r="AP21" s="313" t="str">
        <f>IF($AF21="","",IF($AF21="-", 0, COUNTIF('4. 특출'!$AJ$6:$AJ$2000,$AF21)))</f>
        <v/>
      </c>
      <c r="AQ21" s="310" t="str">
        <f t="shared" si="51"/>
        <v/>
      </c>
    </row>
    <row r="22" spans="1:43" ht="69.95" customHeight="1">
      <c r="A22" s="122"/>
      <c r="B22" s="664" t="s">
        <v>763</v>
      </c>
      <c r="C22" s="664"/>
      <c r="D22" s="664"/>
      <c r="E22" s="664"/>
      <c r="F22" s="664"/>
      <c r="G22" s="664"/>
      <c r="H22" s="123"/>
      <c r="I22" s="123"/>
      <c r="J22" s="291" t="str">
        <f>SUBTOTAL(3,J23:J26)&amp;"건"</f>
        <v>0건</v>
      </c>
      <c r="K22" s="384">
        <f t="shared" ref="K22:Q22" si="55">SUBTOTAL(9,K23:K26)</f>
        <v>0</v>
      </c>
      <c r="L22" s="384">
        <f t="shared" si="55"/>
        <v>0</v>
      </c>
      <c r="M22" s="384">
        <f t="shared" si="55"/>
        <v>0</v>
      </c>
      <c r="N22" s="384">
        <f t="shared" si="55"/>
        <v>0</v>
      </c>
      <c r="O22" s="384">
        <f t="shared" si="55"/>
        <v>0</v>
      </c>
      <c r="P22" s="384">
        <f t="shared" si="55"/>
        <v>0</v>
      </c>
      <c r="Q22" s="384">
        <f t="shared" si="55"/>
        <v>0</v>
      </c>
      <c r="R22" s="122"/>
      <c r="S22" s="122"/>
      <c r="T22" s="122"/>
      <c r="U22" s="122"/>
      <c r="V22" s="122"/>
      <c r="W22" s="122"/>
      <c r="X22" s="124"/>
      <c r="Y22" s="42"/>
      <c r="Z22" s="384">
        <f>SUBTOTAL(9,Z23:Z26)</f>
        <v>0</v>
      </c>
      <c r="AA22" s="384">
        <f>SUBTOTAL(9,AA23:AA26)</f>
        <v>0</v>
      </c>
      <c r="AB22" s="43"/>
      <c r="AC22" s="384">
        <f>SUBTOTAL(9,AC23:AC26)</f>
        <v>0</v>
      </c>
      <c r="AD22" s="384">
        <f>SUBTOTAL(9,AD23:AD26)</f>
        <v>0</v>
      </c>
      <c r="AE22" s="43"/>
      <c r="AF22" s="122"/>
      <c r="AG22" s="124"/>
      <c r="AH22" s="43"/>
      <c r="AI22" s="124"/>
      <c r="AJ22" s="43"/>
      <c r="AK22" s="384">
        <f>SUBTOTAL(9,AK23:AK26)</f>
        <v>0</v>
      </c>
      <c r="AL22" s="384">
        <f>SUBTOTAL(9,AL23:AL26)</f>
        <v>0</v>
      </c>
      <c r="AM22" s="470" t="str">
        <f>IF(COUNTIF(AM23:AM26,"@@")&gt;0,"@@","OK")</f>
        <v>OK</v>
      </c>
      <c r="AN22" s="43"/>
      <c r="AO22" s="384">
        <f t="shared" ref="AO22" si="56">SUBTOTAL(9,AO23:AO26)</f>
        <v>0</v>
      </c>
      <c r="AP22" s="384">
        <f t="shared" ref="AP22" si="57">SUBTOTAL(9,AP23:AP26)</f>
        <v>0</v>
      </c>
      <c r="AQ22" s="470" t="str">
        <f>IF(COUNTIF(AQ23:AQ26,"@@")&gt;0,"@@","OK")</f>
        <v>OK</v>
      </c>
    </row>
    <row r="23" spans="1:43" s="120" customFormat="1" ht="69.95" customHeight="1">
      <c r="A23" s="115" t="str">
        <f>IF(D23="","",COUNTA($C$7:C23)-COUNTBLANK($C$7:C23)+4)</f>
        <v/>
      </c>
      <c r="B23" s="116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16" t="str">
        <f>IF(D23="","",IF(OR(D23="교육지원과"),"소방재난본부",VLOOKUP(D23,구분표!$A$3:$C$258,3,)))</f>
        <v/>
      </c>
      <c r="D23" s="173"/>
      <c r="E23" s="161"/>
      <c r="F23" s="323" t="str">
        <f>IF($E23="","",IF($E23="2추","직접입력","-"))</f>
        <v/>
      </c>
      <c r="G23" s="323" t="str">
        <f>IF($E23="","",IF($E23="2추","직접입력","-"))</f>
        <v/>
      </c>
      <c r="H23" s="162"/>
      <c r="I23" s="116" t="str">
        <f>IF(H23="","",VLOOKUP($H23,구분표!$O$3:$P$168,2,FALSE))</f>
        <v/>
      </c>
      <c r="J23" s="163"/>
      <c r="K23" s="385" t="str">
        <f>IF($E23="","",IF(OR($E23="2추", $E23="1추", $E23="본예산"), "금액입력", "-"))</f>
        <v/>
      </c>
      <c r="L23" s="385" t="str">
        <f>IF($E23="", "", IF($E23="2추","금액입력", "-"))</f>
        <v/>
      </c>
      <c r="M23" s="387" t="str">
        <f t="shared" ref="M23:M26" si="58">IF($E23="","",SUM(K23:L23))</f>
        <v/>
      </c>
      <c r="N23" s="386"/>
      <c r="O23" s="387">
        <f t="shared" ref="O23:O26" si="59">SUM(M23:N23)</f>
        <v>0</v>
      </c>
      <c r="P23" s="388"/>
      <c r="Q23" s="389">
        <f t="shared" ref="Q23:Q26" si="60">SUM(M23,P23)</f>
        <v>0</v>
      </c>
      <c r="R23" s="118" t="str">
        <f t="shared" ref="R23:R26" si="61">IF(AND((O23=0),(Q23&gt;0)),"O",IF(AND((N23&lt;0),(O23-Q23&lt;0)),"O","X"))</f>
        <v>X</v>
      </c>
      <c r="S23" s="177"/>
      <c r="T23" s="176"/>
      <c r="U23" s="178"/>
      <c r="V23" s="179"/>
      <c r="W23" s="178"/>
      <c r="X23" s="118" t="str">
        <f t="shared" ref="X23:X26" si="62">IF($H23="","",IF(OR($H23="511-01", $H23="511-02", $H23="511-03", $H23="311-02", $H23="311-04", $H23="321-01"),"국비","도비"))</f>
        <v/>
      </c>
      <c r="Y23" s="174"/>
      <c r="Z23" s="420" t="str">
        <f t="shared" ref="Z23:Z26" si="63">IF($X23="", "", IF($X23="국비",$N23, 0))</f>
        <v/>
      </c>
      <c r="AA23" s="420" t="str">
        <f t="shared" ref="AA23:AA26" si="64">IF($X23="", "", IF($X23="도비",$N23, 0))</f>
        <v/>
      </c>
      <c r="AC23" s="420" t="str">
        <f t="shared" ref="AC23:AC26" si="65">IF($X23="", "", IF($X23="국비",$P23, 0))</f>
        <v/>
      </c>
      <c r="AD23" s="420" t="str">
        <f t="shared" ref="AD23:AD26" si="66">IF($X23="", "", IF($X23="도비",$P23, 0))</f>
        <v/>
      </c>
      <c r="AF23" s="310" t="str">
        <f>IF(AI23="","",IF($X23="도비","-",CONCATENATE(AI23,"-",COUNTIF($AI$7:AI23,AI23))))</f>
        <v/>
      </c>
      <c r="AG23" s="310" t="str">
        <f t="shared" ref="AG23:AG26" si="67">IF($H23="","",IF($H23="511-01","국비",IF($H23="511-02","균특",IF($H23="511-03","기금",IF($H23="311-02","특교",IF($H23="311-04","소교",IF($H23="321-01","소멸","도비")))))))</f>
        <v/>
      </c>
      <c r="AI23" s="310" t="str">
        <f t="array" ref="AI23">IF(OR(D23="", B23="직접입력", C23="직접입력"),"",INDEX(구분표!$I$2:$I$336, MATCH(1,(구분표!$G$2:$G$336='4. 특입'!B23)*(구분표!$E$2:$E$336='4. 특입'!C23)*(구분표!$F$2:$F$336='4. 특입'!D23),0)))</f>
        <v/>
      </c>
      <c r="AJ23" s="175"/>
      <c r="AK23" s="398" t="str">
        <f>IF($AF23="","",IF($AF23="-",0, SUMIFS('4. 특출'!$AB$6:$AB$2000,'4. 특출'!$AJ$6:$AJ$2000,$AF23)))</f>
        <v/>
      </c>
      <c r="AL23" s="313" t="str">
        <f>IF($AF23="","",IF($AF23="-", 0, COUNTIF('4. 특출'!$AJ$6:$AJ$2000,$AF23)))</f>
        <v/>
      </c>
      <c r="AM23" s="310" t="str">
        <f t="shared" ref="AM23:AM26" si="68">IF($AF23="", "", IF($Z23=$AK23,"OK","@@"))</f>
        <v/>
      </c>
      <c r="AN23" s="175"/>
      <c r="AO23" s="398" t="str">
        <f>IF($AF23="","",IF($AF23="-",0, SUMIFS('4. 특출'!$AF$6:$AF$2000,'4. 특출'!$AJ$6:$AJ$2000,$AF23)))</f>
        <v/>
      </c>
      <c r="AP23" s="313" t="str">
        <f>IF($AF23="","",IF($AF23="-", 0, COUNTIF('4. 특출'!$AJ$6:$AJ$2000,$AF23)))</f>
        <v/>
      </c>
      <c r="AQ23" s="310" t="str">
        <f t="shared" ref="AQ23:AQ26" si="69">IF($AF23="", "", IF($AC23=$AO23,"OK","@@"))</f>
        <v/>
      </c>
    </row>
    <row r="24" spans="1:43" s="120" customFormat="1" ht="69.95" customHeight="1">
      <c r="A24" s="115" t="str">
        <f>IF(D24="","",COUNTA($C$7:C24)-COUNTBLANK($C$7:C24)+4)</f>
        <v/>
      </c>
      <c r="B24" s="116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16" t="str">
        <f>IF(D24="","",IF(OR(D24="교육지원과"),"소방재난본부",VLOOKUP(D24,구분표!$A$3:$C$258,3,)))</f>
        <v/>
      </c>
      <c r="D24" s="173"/>
      <c r="E24" s="161"/>
      <c r="F24" s="323" t="str">
        <f t="shared" ref="F24:G26" si="70">IF($E24="","",IF($E24="2추","직접입력","-"))</f>
        <v/>
      </c>
      <c r="G24" s="323" t="str">
        <f t="shared" si="70"/>
        <v/>
      </c>
      <c r="H24" s="162"/>
      <c r="I24" s="116" t="str">
        <f>IF(H24="","",VLOOKUP($H24,구분표!$O$3:$P$168,2,FALSE))</f>
        <v/>
      </c>
      <c r="J24" s="163"/>
      <c r="K24" s="385" t="str">
        <f t="shared" ref="K24:K26" si="71">IF($E24="","",IF(OR($E24="2추", $E24="1추", $E24="본예산"), "금액입력", "-"))</f>
        <v/>
      </c>
      <c r="L24" s="385" t="str">
        <f t="shared" ref="L24:L26" si="72">IF($E24="", "", IF($E24="2추","금액입력", "-"))</f>
        <v/>
      </c>
      <c r="M24" s="387" t="str">
        <f t="shared" si="58"/>
        <v/>
      </c>
      <c r="N24" s="386"/>
      <c r="O24" s="387">
        <f t="shared" si="59"/>
        <v>0</v>
      </c>
      <c r="P24" s="388"/>
      <c r="Q24" s="389">
        <f t="shared" si="60"/>
        <v>0</v>
      </c>
      <c r="R24" s="118" t="str">
        <f t="shared" si="61"/>
        <v>X</v>
      </c>
      <c r="S24" s="177"/>
      <c r="T24" s="176"/>
      <c r="U24" s="178"/>
      <c r="V24" s="179"/>
      <c r="W24" s="178"/>
      <c r="X24" s="118" t="str">
        <f t="shared" si="62"/>
        <v/>
      </c>
      <c r="Y24" s="174"/>
      <c r="Z24" s="420" t="str">
        <f t="shared" si="63"/>
        <v/>
      </c>
      <c r="AA24" s="420" t="str">
        <f t="shared" si="64"/>
        <v/>
      </c>
      <c r="AC24" s="420" t="str">
        <f t="shared" si="65"/>
        <v/>
      </c>
      <c r="AD24" s="420" t="str">
        <f t="shared" si="66"/>
        <v/>
      </c>
      <c r="AF24" s="310" t="str">
        <f>IF(AI24="","",IF($X24="도비","-",CONCATENATE(AI24,"-",COUNTIF($AI$7:AI24,AI24))))</f>
        <v/>
      </c>
      <c r="AG24" s="310" t="str">
        <f t="shared" si="67"/>
        <v/>
      </c>
      <c r="AI24" s="310" t="str">
        <f t="array" ref="AI24">IF(OR(D24="", B24="직접입력", C24="직접입력"),"",INDEX(구분표!$I$2:$I$336, MATCH(1,(구분표!$G$2:$G$336='4. 특입'!B24)*(구분표!$E$2:$E$336='4. 특입'!C24)*(구분표!$F$2:$F$336='4. 특입'!D24),0)))</f>
        <v/>
      </c>
      <c r="AJ24" s="175"/>
      <c r="AK24" s="398" t="str">
        <f>IF($AF24="","",IF($AF24="-",0, SUMIFS('4. 특출'!$AB$6:$AB$2000,'4. 특출'!$AJ$6:$AJ$2000,$AF24)))</f>
        <v/>
      </c>
      <c r="AL24" s="313" t="str">
        <f>IF($AF24="","",IF($AF24="-", 0, COUNTIF('4. 특출'!$AJ$6:$AJ$2000,$AF24)))</f>
        <v/>
      </c>
      <c r="AM24" s="310" t="str">
        <f t="shared" si="68"/>
        <v/>
      </c>
      <c r="AN24" s="175"/>
      <c r="AO24" s="398" t="str">
        <f>IF($AF24="","",IF($AF24="-",0, SUMIFS('4. 특출'!$AF$6:$AF$2000,'4. 특출'!$AJ$6:$AJ$2000,$AF24)))</f>
        <v/>
      </c>
      <c r="AP24" s="313" t="str">
        <f>IF($AF24="","",IF($AF24="-", 0, COUNTIF('4. 특출'!$AJ$6:$AJ$2000,$AF24)))</f>
        <v/>
      </c>
      <c r="AQ24" s="310" t="str">
        <f t="shared" si="69"/>
        <v/>
      </c>
    </row>
    <row r="25" spans="1:43" s="120" customFormat="1" ht="69.95" customHeight="1">
      <c r="A25" s="115" t="str">
        <f>IF(D25="","",COUNTA($C$7:C25)-COUNTBLANK($C$7:C25)+4)</f>
        <v/>
      </c>
      <c r="B25" s="116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16" t="str">
        <f>IF(D25="","",IF(OR(D25="교육지원과"),"소방재난본부",VLOOKUP(D25,구분표!$A$3:$C$258,3,)))</f>
        <v/>
      </c>
      <c r="D25" s="173"/>
      <c r="E25" s="161"/>
      <c r="F25" s="323" t="str">
        <f t="shared" si="70"/>
        <v/>
      </c>
      <c r="G25" s="323" t="str">
        <f t="shared" si="70"/>
        <v/>
      </c>
      <c r="H25" s="162"/>
      <c r="I25" s="116" t="str">
        <f>IF(H25="","",VLOOKUP($H25,구분표!$O$3:$P$168,2,FALSE))</f>
        <v/>
      </c>
      <c r="J25" s="163"/>
      <c r="K25" s="385" t="str">
        <f t="shared" si="71"/>
        <v/>
      </c>
      <c r="L25" s="385" t="str">
        <f t="shared" si="72"/>
        <v/>
      </c>
      <c r="M25" s="387" t="str">
        <f t="shared" si="58"/>
        <v/>
      </c>
      <c r="N25" s="386"/>
      <c r="O25" s="387">
        <f t="shared" si="59"/>
        <v>0</v>
      </c>
      <c r="P25" s="388"/>
      <c r="Q25" s="389">
        <f t="shared" si="60"/>
        <v>0</v>
      </c>
      <c r="R25" s="118" t="str">
        <f t="shared" si="61"/>
        <v>X</v>
      </c>
      <c r="S25" s="177"/>
      <c r="T25" s="176"/>
      <c r="U25" s="178"/>
      <c r="V25" s="179"/>
      <c r="W25" s="178"/>
      <c r="X25" s="118" t="str">
        <f t="shared" si="62"/>
        <v/>
      </c>
      <c r="Y25" s="174"/>
      <c r="Z25" s="420" t="str">
        <f t="shared" si="63"/>
        <v/>
      </c>
      <c r="AA25" s="420" t="str">
        <f t="shared" si="64"/>
        <v/>
      </c>
      <c r="AC25" s="420" t="str">
        <f t="shared" si="65"/>
        <v/>
      </c>
      <c r="AD25" s="420" t="str">
        <f t="shared" si="66"/>
        <v/>
      </c>
      <c r="AF25" s="310" t="str">
        <f>IF(AI25="","",IF($X25="도비","-",CONCATENATE(AI25,"-",COUNTIF($AI$7:AI25,AI25))))</f>
        <v/>
      </c>
      <c r="AG25" s="310" t="str">
        <f t="shared" si="67"/>
        <v/>
      </c>
      <c r="AI25" s="310" t="str">
        <f t="array" ref="AI25">IF(OR(D25="", B25="직접입력", C25="직접입력"),"",INDEX(구분표!$I$2:$I$336, MATCH(1,(구분표!$G$2:$G$336='4. 특입'!B25)*(구분표!$E$2:$E$336='4. 특입'!C25)*(구분표!$F$2:$F$336='4. 특입'!D25),0)))</f>
        <v/>
      </c>
      <c r="AJ25" s="175"/>
      <c r="AK25" s="398" t="str">
        <f>IF($AF25="","",IF($AF25="-",0, SUMIFS('4. 특출'!$AB$6:$AB$2000,'4. 특출'!$AJ$6:$AJ$2000,$AF25)))</f>
        <v/>
      </c>
      <c r="AL25" s="313" t="str">
        <f>IF($AF25="","",IF($AF25="-", 0, COUNTIF('4. 특출'!$AJ$6:$AJ$2000,$AF25)))</f>
        <v/>
      </c>
      <c r="AM25" s="310" t="str">
        <f t="shared" si="68"/>
        <v/>
      </c>
      <c r="AN25" s="175"/>
      <c r="AO25" s="398" t="str">
        <f>IF($AF25="","",IF($AF25="-",0, SUMIFS('4. 특출'!$AF$6:$AF$2000,'4. 특출'!$AJ$6:$AJ$2000,$AF25)))</f>
        <v/>
      </c>
      <c r="AP25" s="313" t="str">
        <f>IF($AF25="","",IF($AF25="-", 0, COUNTIF('4. 특출'!$AJ$6:$AJ$2000,$AF25)))</f>
        <v/>
      </c>
      <c r="AQ25" s="310" t="str">
        <f t="shared" si="69"/>
        <v/>
      </c>
    </row>
    <row r="26" spans="1:43" s="120" customFormat="1" ht="69.95" customHeight="1">
      <c r="A26" s="115" t="str">
        <f>IF(D26="","",COUNTA($C$7:C26)-COUNTBLANK($C$7:C26)+4)</f>
        <v/>
      </c>
      <c r="B26" s="116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16" t="str">
        <f>IF(D26="","",IF(OR(D26="교육지원과"),"소방재난본부",VLOOKUP(D26,구분표!$A$3:$C$258,3,)))</f>
        <v/>
      </c>
      <c r="D26" s="173"/>
      <c r="E26" s="161"/>
      <c r="F26" s="323" t="str">
        <f t="shared" si="70"/>
        <v/>
      </c>
      <c r="G26" s="323" t="str">
        <f t="shared" si="70"/>
        <v/>
      </c>
      <c r="H26" s="162"/>
      <c r="I26" s="116" t="str">
        <f>IF(H26="","",VLOOKUP($H26,구분표!$O$3:$P$168,2,FALSE))</f>
        <v/>
      </c>
      <c r="J26" s="163"/>
      <c r="K26" s="385" t="str">
        <f t="shared" si="71"/>
        <v/>
      </c>
      <c r="L26" s="385" t="str">
        <f t="shared" si="72"/>
        <v/>
      </c>
      <c r="M26" s="387" t="str">
        <f t="shared" si="58"/>
        <v/>
      </c>
      <c r="N26" s="386"/>
      <c r="O26" s="387">
        <f t="shared" si="59"/>
        <v>0</v>
      </c>
      <c r="P26" s="388"/>
      <c r="Q26" s="389">
        <f t="shared" si="60"/>
        <v>0</v>
      </c>
      <c r="R26" s="118" t="str">
        <f t="shared" si="61"/>
        <v>X</v>
      </c>
      <c r="S26" s="177"/>
      <c r="T26" s="176"/>
      <c r="U26" s="178"/>
      <c r="V26" s="179"/>
      <c r="W26" s="178"/>
      <c r="X26" s="118" t="str">
        <f t="shared" si="62"/>
        <v/>
      </c>
      <c r="Y26" s="174"/>
      <c r="Z26" s="420" t="str">
        <f t="shared" si="63"/>
        <v/>
      </c>
      <c r="AA26" s="420" t="str">
        <f t="shared" si="64"/>
        <v/>
      </c>
      <c r="AC26" s="420" t="str">
        <f t="shared" si="65"/>
        <v/>
      </c>
      <c r="AD26" s="420" t="str">
        <f t="shared" si="66"/>
        <v/>
      </c>
      <c r="AF26" s="310" t="str">
        <f>IF(AI26="","",IF($X26="도비","-",CONCATENATE(AI26,"-",COUNTIF($AI$7:AI26,AI26))))</f>
        <v/>
      </c>
      <c r="AG26" s="310" t="str">
        <f t="shared" si="67"/>
        <v/>
      </c>
      <c r="AI26" s="310" t="str">
        <f t="array" ref="AI26">IF(OR(D26="", B26="직접입력", C26="직접입력"),"",INDEX(구분표!$I$2:$I$336, MATCH(1,(구분표!$G$2:$G$336='4. 특입'!B26)*(구분표!$E$2:$E$336='4. 특입'!C26)*(구분표!$F$2:$F$336='4. 특입'!D26),0)))</f>
        <v/>
      </c>
      <c r="AJ26" s="175"/>
      <c r="AK26" s="398" t="str">
        <f>IF($AF26="","",IF($AF26="-",0, SUMIFS('4. 특출'!$AB$6:$AB$2000,'4. 특출'!$AJ$6:$AJ$2000,$AF26)))</f>
        <v/>
      </c>
      <c r="AL26" s="313" t="str">
        <f>IF($AF26="","",IF($AF26="-", 0, COUNTIF('4. 특출'!$AJ$6:$AJ$2000,$AF26)))</f>
        <v/>
      </c>
      <c r="AM26" s="310" t="str">
        <f t="shared" si="68"/>
        <v/>
      </c>
      <c r="AN26" s="175"/>
      <c r="AO26" s="398" t="str">
        <f>IF($AF26="","",IF($AF26="-",0, SUMIFS('4. 특출'!$AF$6:$AF$2000,'4. 특출'!$AJ$6:$AJ$2000,$AF26)))</f>
        <v/>
      </c>
      <c r="AP26" s="313" t="str">
        <f>IF($AF26="","",IF($AF26="-", 0, COUNTIF('4. 특출'!$AJ$6:$AJ$2000,$AF26)))</f>
        <v/>
      </c>
      <c r="AQ26" s="310" t="str">
        <f t="shared" si="69"/>
        <v/>
      </c>
    </row>
    <row r="27" spans="1:43" ht="69.95" customHeight="1">
      <c r="A27" s="122"/>
      <c r="B27" s="664" t="s">
        <v>764</v>
      </c>
      <c r="C27" s="664"/>
      <c r="D27" s="664"/>
      <c r="E27" s="664"/>
      <c r="F27" s="664"/>
      <c r="G27" s="664"/>
      <c r="H27" s="123"/>
      <c r="I27" s="123"/>
      <c r="J27" s="291" t="str">
        <f>SUBTOTAL(3,J28:J31)&amp;"건"</f>
        <v>0건</v>
      </c>
      <c r="K27" s="384">
        <f t="shared" ref="K27:Q27" si="73">SUBTOTAL(9,K28:K31)</f>
        <v>0</v>
      </c>
      <c r="L27" s="384">
        <f t="shared" si="73"/>
        <v>0</v>
      </c>
      <c r="M27" s="384">
        <f t="shared" si="73"/>
        <v>0</v>
      </c>
      <c r="N27" s="384">
        <f t="shared" si="73"/>
        <v>0</v>
      </c>
      <c r="O27" s="384">
        <f t="shared" si="73"/>
        <v>0</v>
      </c>
      <c r="P27" s="384">
        <f t="shared" si="73"/>
        <v>0</v>
      </c>
      <c r="Q27" s="384">
        <f t="shared" si="73"/>
        <v>0</v>
      </c>
      <c r="R27" s="122"/>
      <c r="S27" s="122"/>
      <c r="T27" s="122"/>
      <c r="U27" s="122"/>
      <c r="V27" s="122"/>
      <c r="W27" s="122"/>
      <c r="X27" s="124"/>
      <c r="Y27" s="42"/>
      <c r="Z27" s="384">
        <f>SUBTOTAL(9,Z28:Z31)</f>
        <v>0</v>
      </c>
      <c r="AA27" s="384">
        <f>SUBTOTAL(9,AA28:AA31)</f>
        <v>0</v>
      </c>
      <c r="AB27" s="43"/>
      <c r="AC27" s="384">
        <f>SUBTOTAL(9,AC28:AC31)</f>
        <v>0</v>
      </c>
      <c r="AD27" s="384">
        <f>SUBTOTAL(9,AD28:AD31)</f>
        <v>0</v>
      </c>
      <c r="AE27" s="43"/>
      <c r="AF27" s="122"/>
      <c r="AG27" s="124"/>
      <c r="AH27" s="43"/>
      <c r="AI27" s="124"/>
      <c r="AJ27" s="43"/>
      <c r="AK27" s="384">
        <f>SUBTOTAL(9,AK28:AK31)</f>
        <v>0</v>
      </c>
      <c r="AL27" s="384">
        <f>SUBTOTAL(9,AL28:AL31)</f>
        <v>0</v>
      </c>
      <c r="AM27" s="470" t="str">
        <f>IF(COUNTIF(AM28:AM31,"@@")&gt;0,"@@","OK")</f>
        <v>OK</v>
      </c>
      <c r="AN27" s="43"/>
      <c r="AO27" s="384">
        <f t="shared" ref="AO27" si="74">SUBTOTAL(9,AO28:AO31)</f>
        <v>0</v>
      </c>
      <c r="AP27" s="384">
        <f t="shared" ref="AP27" si="75">SUBTOTAL(9,AP28:AP31)</f>
        <v>0</v>
      </c>
      <c r="AQ27" s="470" t="str">
        <f>IF(COUNTIF(AQ28:AQ31,"@@")&gt;0,"@@","OK")</f>
        <v>OK</v>
      </c>
    </row>
    <row r="28" spans="1:43" s="120" customFormat="1" ht="69.95" customHeight="1">
      <c r="A28" s="115" t="str">
        <f>IF(D28="","",COUNTA($C$7:C28)-COUNTBLANK($C$7:C28)+5)</f>
        <v/>
      </c>
      <c r="B28" s="116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16" t="str">
        <f>IF(D28="","",IF(OR(D28="교육지원과"),"소방재난본부",VLOOKUP(D28,구분표!$A$3:$C$258,3,)))</f>
        <v/>
      </c>
      <c r="D28" s="173"/>
      <c r="E28" s="161"/>
      <c r="F28" s="323" t="str">
        <f>IF($E28="","",IF($E28="2추","직접입력","-"))</f>
        <v/>
      </c>
      <c r="G28" s="323" t="str">
        <f>IF($E28="","",IF($E28="2추","직접입력","-"))</f>
        <v/>
      </c>
      <c r="H28" s="162"/>
      <c r="I28" s="116" t="str">
        <f>IF(H28="","",VLOOKUP($H28,구분표!$O$3:$P$168,2,FALSE))</f>
        <v/>
      </c>
      <c r="J28" s="163"/>
      <c r="K28" s="385" t="str">
        <f>IF($E28="","",IF(OR($E28="2추", $E28="1추", $E28="본예산"), "금액입력", "-"))</f>
        <v/>
      </c>
      <c r="L28" s="385" t="str">
        <f>IF($E28="", "", IF($E28="2추","금액입력", "-"))</f>
        <v/>
      </c>
      <c r="M28" s="387" t="str">
        <f t="shared" ref="M28:M31" si="76">IF($E28="","",SUM(K28:L28))</f>
        <v/>
      </c>
      <c r="N28" s="386"/>
      <c r="O28" s="387">
        <f t="shared" ref="O28:O31" si="77">SUM(M28:N28)</f>
        <v>0</v>
      </c>
      <c r="P28" s="388"/>
      <c r="Q28" s="389">
        <f t="shared" ref="Q28:Q31" si="78">SUM(M28,P28)</f>
        <v>0</v>
      </c>
      <c r="R28" s="118" t="str">
        <f t="shared" ref="R28:R31" si="79">IF(AND((O28=0),(Q28&gt;0)),"O",IF(AND((N28&lt;0),(O28-Q28&lt;0)),"O","X"))</f>
        <v>X</v>
      </c>
      <c r="S28" s="177"/>
      <c r="T28" s="176"/>
      <c r="U28" s="178"/>
      <c r="V28" s="179"/>
      <c r="W28" s="178"/>
      <c r="X28" s="118" t="str">
        <f t="shared" ref="X28:X31" si="80">IF($H28="","",IF(OR($H28="511-01", $H28="511-02", $H28="511-03", $H28="311-02", $H28="311-04", $H28="321-01"),"국비","도비"))</f>
        <v/>
      </c>
      <c r="Y28" s="174"/>
      <c r="Z28" s="420" t="str">
        <f t="shared" ref="Z28:Z31" si="81">IF($X28="", "", IF($X28="국비",$N28, 0))</f>
        <v/>
      </c>
      <c r="AA28" s="420" t="str">
        <f t="shared" ref="AA28:AA31" si="82">IF($X28="", "", IF($X28="도비",$N28, 0))</f>
        <v/>
      </c>
      <c r="AC28" s="420" t="str">
        <f t="shared" ref="AC28:AC31" si="83">IF($X28="", "", IF($X28="국비",$P28, 0))</f>
        <v/>
      </c>
      <c r="AD28" s="420" t="str">
        <f t="shared" ref="AD28:AD31" si="84">IF($X28="", "", IF($X28="도비",$P28, 0))</f>
        <v/>
      </c>
      <c r="AF28" s="310" t="str">
        <f>IF(AI28="","",IF($X28="도비","-",CONCATENATE(AI28,"-",COUNTIF($AI$7:AI28,AI28))))</f>
        <v/>
      </c>
      <c r="AG28" s="310" t="str">
        <f t="shared" ref="AG28:AG31" si="85">IF($H28="","",IF($H28="511-01","국비",IF($H28="511-02","균특",IF($H28="511-03","기금",IF($H28="311-02","특교",IF($H28="311-04","소교",IF($H28="321-01","소멸","도비")))))))</f>
        <v/>
      </c>
      <c r="AI28" s="310" t="str">
        <f t="array" ref="AI28">IF(OR(D28="", B28="직접입력", C28="직접입력"),"",INDEX(구분표!$I$2:$I$336, MATCH(1,(구분표!$G$2:$G$336='4. 특입'!B28)*(구분표!$E$2:$E$336='4. 특입'!C28)*(구분표!$F$2:$F$336='4. 특입'!D28),0)))</f>
        <v/>
      </c>
      <c r="AJ28" s="175"/>
      <c r="AK28" s="398" t="str">
        <f>IF($AF28="","",IF($AF28="-",0, SUMIFS('4. 특출'!$AB$6:$AB$2000,'4. 특출'!$AJ$6:$AJ$2000,$AF28)))</f>
        <v/>
      </c>
      <c r="AL28" s="313" t="str">
        <f>IF($AF28="","",IF($AF28="-", 0, COUNTIF('4. 특출'!$AJ$6:$AJ$2000,$AF28)))</f>
        <v/>
      </c>
      <c r="AM28" s="310" t="str">
        <f t="shared" ref="AM28:AM31" si="86">IF($AF28="", "", IF($Z28=$AK28,"OK","@@"))</f>
        <v/>
      </c>
      <c r="AN28" s="175"/>
      <c r="AO28" s="398" t="str">
        <f>IF($AF28="","",IF($AF28="-",0, SUMIFS('4. 특출'!$AF$6:$AF$2000,'4. 특출'!$AJ$6:$AJ$2000,$AF28)))</f>
        <v/>
      </c>
      <c r="AP28" s="313" t="str">
        <f>IF($AF28="","",IF($AF28="-", 0, COUNTIF('4. 특출'!$AJ$6:$AJ$2000,$AF28)))</f>
        <v/>
      </c>
      <c r="AQ28" s="310" t="str">
        <f t="shared" ref="AQ28:AQ31" si="87">IF($AF28="", "", IF($AC28=$AO28,"OK","@@"))</f>
        <v/>
      </c>
    </row>
    <row r="29" spans="1:43" s="120" customFormat="1" ht="69.95" customHeight="1">
      <c r="A29" s="115" t="str">
        <f>IF(D29="","",COUNTA($C$7:C29)-COUNTBLANK($C$7:C29)+5)</f>
        <v/>
      </c>
      <c r="B29" s="116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16" t="str">
        <f>IF(D29="","",IF(OR(D29="교육지원과"),"소방재난본부",VLOOKUP(D29,구분표!$A$3:$C$258,3,)))</f>
        <v/>
      </c>
      <c r="D29" s="173"/>
      <c r="E29" s="161"/>
      <c r="F29" s="323" t="str">
        <f t="shared" ref="F29:G31" si="88">IF($E29="","",IF($E29="2추","직접입력","-"))</f>
        <v/>
      </c>
      <c r="G29" s="323" t="str">
        <f t="shared" si="88"/>
        <v/>
      </c>
      <c r="H29" s="162"/>
      <c r="I29" s="116" t="str">
        <f>IF(H29="","",VLOOKUP($H29,구분표!$O$3:$P$168,2,FALSE))</f>
        <v/>
      </c>
      <c r="J29" s="163"/>
      <c r="K29" s="385" t="str">
        <f t="shared" ref="K29:K31" si="89">IF($E29="","",IF(OR($E29="2추", $E29="1추", $E29="본예산"), "금액입력", "-"))</f>
        <v/>
      </c>
      <c r="L29" s="385" t="str">
        <f t="shared" ref="L29:L31" si="90">IF($E29="", "", IF($E29="2추","금액입력", "-"))</f>
        <v/>
      </c>
      <c r="M29" s="387" t="str">
        <f t="shared" si="76"/>
        <v/>
      </c>
      <c r="N29" s="386"/>
      <c r="O29" s="387">
        <f t="shared" si="77"/>
        <v>0</v>
      </c>
      <c r="P29" s="388"/>
      <c r="Q29" s="389">
        <f t="shared" si="78"/>
        <v>0</v>
      </c>
      <c r="R29" s="118" t="str">
        <f t="shared" si="79"/>
        <v>X</v>
      </c>
      <c r="S29" s="177"/>
      <c r="T29" s="176"/>
      <c r="U29" s="178"/>
      <c r="V29" s="179"/>
      <c r="W29" s="178"/>
      <c r="X29" s="118" t="str">
        <f t="shared" si="80"/>
        <v/>
      </c>
      <c r="Y29" s="174"/>
      <c r="Z29" s="420" t="str">
        <f t="shared" si="81"/>
        <v/>
      </c>
      <c r="AA29" s="420" t="str">
        <f t="shared" si="82"/>
        <v/>
      </c>
      <c r="AC29" s="420" t="str">
        <f t="shared" si="83"/>
        <v/>
      </c>
      <c r="AD29" s="420" t="str">
        <f t="shared" si="84"/>
        <v/>
      </c>
      <c r="AF29" s="310" t="str">
        <f>IF(AI29="","",IF($X29="도비","-",CONCATENATE(AI29,"-",COUNTIF($AI$7:AI29,AI29))))</f>
        <v/>
      </c>
      <c r="AG29" s="310" t="str">
        <f t="shared" si="85"/>
        <v/>
      </c>
      <c r="AI29" s="310" t="str">
        <f t="array" ref="AI29">IF(OR(D29="", B29="직접입력", C29="직접입력"),"",INDEX(구분표!$I$2:$I$336, MATCH(1,(구분표!$G$2:$G$336='4. 특입'!B29)*(구분표!$E$2:$E$336='4. 특입'!C29)*(구분표!$F$2:$F$336='4. 특입'!D29),0)))</f>
        <v/>
      </c>
      <c r="AJ29" s="175"/>
      <c r="AK29" s="398" t="str">
        <f>IF($AF29="","",IF($AF29="-",0, SUMIFS('4. 특출'!$AB$6:$AB$2000,'4. 특출'!$AJ$6:$AJ$2000,$AF29)))</f>
        <v/>
      </c>
      <c r="AL29" s="313" t="str">
        <f>IF($AF29="","",IF($AF29="-", 0, COUNTIF('4. 특출'!$AJ$6:$AJ$2000,$AF29)))</f>
        <v/>
      </c>
      <c r="AM29" s="310" t="str">
        <f t="shared" si="86"/>
        <v/>
      </c>
      <c r="AN29" s="175"/>
      <c r="AO29" s="398" t="str">
        <f>IF($AF29="","",IF($AF29="-",0, SUMIFS('4. 특출'!$AF$6:$AF$2000,'4. 특출'!$AJ$6:$AJ$2000,$AF29)))</f>
        <v/>
      </c>
      <c r="AP29" s="313" t="str">
        <f>IF($AF29="","",IF($AF29="-", 0, COUNTIF('4. 특출'!$AJ$6:$AJ$2000,$AF29)))</f>
        <v/>
      </c>
      <c r="AQ29" s="310" t="str">
        <f t="shared" si="87"/>
        <v/>
      </c>
    </row>
    <row r="30" spans="1:43" s="120" customFormat="1" ht="69.95" customHeight="1">
      <c r="A30" s="115" t="str">
        <f>IF(D30="","",COUNTA($C$7:C30)-COUNTBLANK($C$7:C30)+5)</f>
        <v/>
      </c>
      <c r="B30" s="116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16" t="str">
        <f>IF(D30="","",IF(OR(D30="교육지원과"),"소방재난본부",VLOOKUP(D30,구분표!$A$3:$C$258,3,)))</f>
        <v/>
      </c>
      <c r="D30" s="173"/>
      <c r="E30" s="161"/>
      <c r="F30" s="323" t="str">
        <f t="shared" si="88"/>
        <v/>
      </c>
      <c r="G30" s="323" t="str">
        <f t="shared" si="88"/>
        <v/>
      </c>
      <c r="H30" s="162"/>
      <c r="I30" s="116" t="str">
        <f>IF(H30="","",VLOOKUP($H30,구분표!$O$3:$P$168,2,FALSE))</f>
        <v/>
      </c>
      <c r="J30" s="163"/>
      <c r="K30" s="385" t="str">
        <f t="shared" si="89"/>
        <v/>
      </c>
      <c r="L30" s="385" t="str">
        <f t="shared" si="90"/>
        <v/>
      </c>
      <c r="M30" s="387" t="str">
        <f t="shared" si="76"/>
        <v/>
      </c>
      <c r="N30" s="386"/>
      <c r="O30" s="387">
        <f t="shared" si="77"/>
        <v>0</v>
      </c>
      <c r="P30" s="388"/>
      <c r="Q30" s="389">
        <f t="shared" si="78"/>
        <v>0</v>
      </c>
      <c r="R30" s="118" t="str">
        <f t="shared" si="79"/>
        <v>X</v>
      </c>
      <c r="S30" s="177"/>
      <c r="T30" s="176"/>
      <c r="U30" s="178"/>
      <c r="V30" s="179"/>
      <c r="W30" s="178"/>
      <c r="X30" s="118" t="str">
        <f t="shared" si="80"/>
        <v/>
      </c>
      <c r="Y30" s="174"/>
      <c r="Z30" s="420" t="str">
        <f t="shared" si="81"/>
        <v/>
      </c>
      <c r="AA30" s="420" t="str">
        <f t="shared" si="82"/>
        <v/>
      </c>
      <c r="AC30" s="420" t="str">
        <f t="shared" si="83"/>
        <v/>
      </c>
      <c r="AD30" s="420" t="str">
        <f t="shared" si="84"/>
        <v/>
      </c>
      <c r="AF30" s="310" t="str">
        <f>IF(AI30="","",IF($X30="도비","-",CONCATENATE(AI30,"-",COUNTIF($AI$7:AI30,AI30))))</f>
        <v/>
      </c>
      <c r="AG30" s="310" t="str">
        <f t="shared" si="85"/>
        <v/>
      </c>
      <c r="AI30" s="310" t="str">
        <f t="array" ref="AI30">IF(OR(D30="", B30="직접입력", C30="직접입력"),"",INDEX(구분표!$I$2:$I$336, MATCH(1,(구분표!$G$2:$G$336='4. 특입'!B30)*(구분표!$E$2:$E$336='4. 특입'!C30)*(구분표!$F$2:$F$336='4. 특입'!D30),0)))</f>
        <v/>
      </c>
      <c r="AJ30" s="175"/>
      <c r="AK30" s="398" t="str">
        <f>IF($AF30="","",IF($AF30="-",0, SUMIFS('4. 특출'!$AB$6:$AB$2000,'4. 특출'!$AJ$6:$AJ$2000,$AF30)))</f>
        <v/>
      </c>
      <c r="AL30" s="313" t="str">
        <f>IF($AF30="","",IF($AF30="-", 0, COUNTIF('4. 특출'!$AJ$6:$AJ$2000,$AF30)))</f>
        <v/>
      </c>
      <c r="AM30" s="310" t="str">
        <f t="shared" si="86"/>
        <v/>
      </c>
      <c r="AN30" s="175"/>
      <c r="AO30" s="398" t="str">
        <f>IF($AF30="","",IF($AF30="-",0, SUMIFS('4. 특출'!$AF$6:$AF$2000,'4. 특출'!$AJ$6:$AJ$2000,$AF30)))</f>
        <v/>
      </c>
      <c r="AP30" s="313" t="str">
        <f>IF($AF30="","",IF($AF30="-", 0, COUNTIF('4. 특출'!$AJ$6:$AJ$2000,$AF30)))</f>
        <v/>
      </c>
      <c r="AQ30" s="310" t="str">
        <f t="shared" si="87"/>
        <v/>
      </c>
    </row>
    <row r="31" spans="1:43" s="120" customFormat="1" ht="69.95" customHeight="1">
      <c r="A31" s="115" t="str">
        <f>IF(D31="","",COUNTA($C$7:C31)-COUNTBLANK($C$7:C31)+5)</f>
        <v/>
      </c>
      <c r="B31" s="116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16" t="str">
        <f>IF(D31="","",IF(OR(D31="교육지원과"),"소방재난본부",VLOOKUP(D31,구분표!$A$3:$C$258,3,)))</f>
        <v/>
      </c>
      <c r="D31" s="173"/>
      <c r="E31" s="161"/>
      <c r="F31" s="323" t="str">
        <f t="shared" si="88"/>
        <v/>
      </c>
      <c r="G31" s="323" t="str">
        <f t="shared" si="88"/>
        <v/>
      </c>
      <c r="H31" s="162"/>
      <c r="I31" s="116" t="str">
        <f>IF(H31="","",VLOOKUP($H31,구분표!$O$3:$P$168,2,FALSE))</f>
        <v/>
      </c>
      <c r="J31" s="163"/>
      <c r="K31" s="385" t="str">
        <f t="shared" si="89"/>
        <v/>
      </c>
      <c r="L31" s="385" t="str">
        <f t="shared" si="90"/>
        <v/>
      </c>
      <c r="M31" s="387" t="str">
        <f t="shared" si="76"/>
        <v/>
      </c>
      <c r="N31" s="386"/>
      <c r="O31" s="387">
        <f t="shared" si="77"/>
        <v>0</v>
      </c>
      <c r="P31" s="388"/>
      <c r="Q31" s="389">
        <f t="shared" si="78"/>
        <v>0</v>
      </c>
      <c r="R31" s="118" t="str">
        <f t="shared" si="79"/>
        <v>X</v>
      </c>
      <c r="S31" s="177"/>
      <c r="T31" s="176"/>
      <c r="U31" s="178"/>
      <c r="V31" s="179"/>
      <c r="W31" s="178"/>
      <c r="X31" s="118" t="str">
        <f t="shared" si="80"/>
        <v/>
      </c>
      <c r="Y31" s="174"/>
      <c r="Z31" s="420" t="str">
        <f t="shared" si="81"/>
        <v/>
      </c>
      <c r="AA31" s="420" t="str">
        <f t="shared" si="82"/>
        <v/>
      </c>
      <c r="AC31" s="420" t="str">
        <f t="shared" si="83"/>
        <v/>
      </c>
      <c r="AD31" s="420" t="str">
        <f t="shared" si="84"/>
        <v/>
      </c>
      <c r="AF31" s="310" t="str">
        <f>IF(AI31="","",IF($X31="도비","-",CONCATENATE(AI31,"-",COUNTIF($AI$7:AI31,AI31))))</f>
        <v/>
      </c>
      <c r="AG31" s="310" t="str">
        <f t="shared" si="85"/>
        <v/>
      </c>
      <c r="AI31" s="310" t="str">
        <f t="array" ref="AI31">IF(OR(D31="", B31="직접입력", C31="직접입력"),"",INDEX(구분표!$I$2:$I$336, MATCH(1,(구분표!$G$2:$G$336='4. 특입'!B31)*(구분표!$E$2:$E$336='4. 특입'!C31)*(구분표!$F$2:$F$336='4. 특입'!D31),0)))</f>
        <v/>
      </c>
      <c r="AJ31" s="175"/>
      <c r="AK31" s="398" t="str">
        <f>IF($AF31="","",IF($AF31="-",0, SUMIFS('4. 특출'!$AB$6:$AB$2000,'4. 특출'!$AJ$6:$AJ$2000,$AF31)))</f>
        <v/>
      </c>
      <c r="AL31" s="313" t="str">
        <f>IF($AF31="","",IF($AF31="-", 0, COUNTIF('4. 특출'!$AJ$6:$AJ$2000,$AF31)))</f>
        <v/>
      </c>
      <c r="AM31" s="310" t="str">
        <f t="shared" si="86"/>
        <v/>
      </c>
      <c r="AN31" s="175"/>
      <c r="AO31" s="398" t="str">
        <f>IF($AF31="","",IF($AF31="-",0, SUMIFS('4. 특출'!$AF$6:$AF$2000,'4. 특출'!$AJ$6:$AJ$2000,$AF31)))</f>
        <v/>
      </c>
      <c r="AP31" s="313" t="str">
        <f>IF($AF31="","",IF($AF31="-", 0, COUNTIF('4. 특출'!$AJ$6:$AJ$2000,$AF31)))</f>
        <v/>
      </c>
      <c r="AQ31" s="310" t="str">
        <f t="shared" si="87"/>
        <v/>
      </c>
    </row>
    <row r="32" spans="1:43" ht="69.95" customHeight="1">
      <c r="A32" s="122"/>
      <c r="B32" s="664" t="s">
        <v>769</v>
      </c>
      <c r="C32" s="664"/>
      <c r="D32" s="664"/>
      <c r="E32" s="664"/>
      <c r="F32" s="664"/>
      <c r="G32" s="664"/>
      <c r="H32" s="123"/>
      <c r="I32" s="123"/>
      <c r="J32" s="291" t="str">
        <f>SUBTOTAL(3,J33:J36)&amp;"건"</f>
        <v>0건</v>
      </c>
      <c r="K32" s="384">
        <f t="shared" ref="K32:Q32" si="91">SUBTOTAL(9,K33:K36)</f>
        <v>0</v>
      </c>
      <c r="L32" s="384">
        <f t="shared" si="91"/>
        <v>0</v>
      </c>
      <c r="M32" s="384">
        <f t="shared" si="91"/>
        <v>0</v>
      </c>
      <c r="N32" s="384">
        <f t="shared" si="91"/>
        <v>0</v>
      </c>
      <c r="O32" s="384">
        <f t="shared" si="91"/>
        <v>0</v>
      </c>
      <c r="P32" s="384">
        <f t="shared" si="91"/>
        <v>0</v>
      </c>
      <c r="Q32" s="384">
        <f t="shared" si="91"/>
        <v>0</v>
      </c>
      <c r="R32" s="122"/>
      <c r="S32" s="122"/>
      <c r="T32" s="122"/>
      <c r="U32" s="122"/>
      <c r="V32" s="122"/>
      <c r="W32" s="122"/>
      <c r="X32" s="124"/>
      <c r="Y32" s="42"/>
      <c r="Z32" s="384">
        <f>SUBTOTAL(9,Z33:Z36)</f>
        <v>0</v>
      </c>
      <c r="AA32" s="384">
        <f>SUBTOTAL(9,AA33:AA36)</f>
        <v>0</v>
      </c>
      <c r="AB32" s="43"/>
      <c r="AC32" s="384">
        <f>SUBTOTAL(9,AC33:AC36)</f>
        <v>0</v>
      </c>
      <c r="AD32" s="384">
        <f>SUBTOTAL(9,AD33:AD36)</f>
        <v>0</v>
      </c>
      <c r="AE32" s="43"/>
      <c r="AF32" s="122"/>
      <c r="AG32" s="124"/>
      <c r="AH32" s="43"/>
      <c r="AI32" s="124"/>
      <c r="AJ32" s="43"/>
      <c r="AK32" s="384">
        <f>SUBTOTAL(9,AK33:AK36)</f>
        <v>0</v>
      </c>
      <c r="AL32" s="384">
        <f>SUBTOTAL(9,AL33:AL36)</f>
        <v>0</v>
      </c>
      <c r="AM32" s="470" t="str">
        <f>IF(COUNTIF(AM33:AM36,"@@")&gt;0,"@@","OK")</f>
        <v>OK</v>
      </c>
      <c r="AN32" s="43"/>
      <c r="AO32" s="384">
        <f t="shared" ref="AO32" si="92">SUBTOTAL(9,AO33:AO36)</f>
        <v>0</v>
      </c>
      <c r="AP32" s="384">
        <f t="shared" ref="AP32" si="93">SUBTOTAL(9,AP33:AP36)</f>
        <v>0</v>
      </c>
      <c r="AQ32" s="470" t="str">
        <f>IF(COUNTIF(AQ33:AQ36,"@@")&gt;0,"@@","OK")</f>
        <v>OK</v>
      </c>
    </row>
    <row r="33" spans="1:43" s="120" customFormat="1" ht="69.95" customHeight="1">
      <c r="A33" s="115" t="str">
        <f>IF(D33="","",COUNTA($C$7:C33)-COUNTBLANK($C$7:C33)+6)</f>
        <v/>
      </c>
      <c r="B33" s="116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16" t="str">
        <f>IF(D33="","",IF(OR(D33="교육지원과"),"소방재난본부",VLOOKUP(D33,구분표!$A$3:$C$258,3,)))</f>
        <v/>
      </c>
      <c r="D33" s="173"/>
      <c r="E33" s="161"/>
      <c r="F33" s="323" t="str">
        <f>IF($E33="","",IF($E33="2추","직접입력","-"))</f>
        <v/>
      </c>
      <c r="G33" s="323" t="str">
        <f>IF($E33="","",IF($E33="2추","직접입력","-"))</f>
        <v/>
      </c>
      <c r="H33" s="162"/>
      <c r="I33" s="116" t="str">
        <f>IF(H33="","",VLOOKUP($H33,구분표!$O$3:$P$168,2,FALSE))</f>
        <v/>
      </c>
      <c r="J33" s="163"/>
      <c r="K33" s="385" t="str">
        <f>IF($E33="","",IF(OR($E33="2추", $E33="1추", $E33="본예산"), "금액입력", "-"))</f>
        <v/>
      </c>
      <c r="L33" s="385" t="str">
        <f>IF($E33="", "", IF($E33="2추","금액입력", "-"))</f>
        <v/>
      </c>
      <c r="M33" s="387" t="str">
        <f t="shared" ref="M33:M36" si="94">IF($E33="","",SUM(K33:L33))</f>
        <v/>
      </c>
      <c r="N33" s="386"/>
      <c r="O33" s="387">
        <f t="shared" ref="O33:O36" si="95">SUM(M33:N33)</f>
        <v>0</v>
      </c>
      <c r="P33" s="388"/>
      <c r="Q33" s="389">
        <f t="shared" ref="Q33:Q36" si="96">SUM(M33,P33)</f>
        <v>0</v>
      </c>
      <c r="R33" s="118" t="str">
        <f t="shared" ref="R33:R36" si="97">IF(AND((O33=0),(Q33&gt;0)),"O",IF(AND((N33&lt;0),(O33-Q33&lt;0)),"O","X"))</f>
        <v>X</v>
      </c>
      <c r="S33" s="177"/>
      <c r="T33" s="176"/>
      <c r="U33" s="178"/>
      <c r="V33" s="179"/>
      <c r="W33" s="178"/>
      <c r="X33" s="118" t="str">
        <f t="shared" ref="X33:X36" si="98">IF($H33="","",IF(OR($H33="511-01", $H33="511-02", $H33="511-03", $H33="311-02", $H33="311-04", $H33="321-01"),"국비","도비"))</f>
        <v/>
      </c>
      <c r="Y33" s="174"/>
      <c r="Z33" s="420" t="str">
        <f t="shared" ref="Z33:Z36" si="99">IF($X33="", "", IF($X33="국비",$N33, 0))</f>
        <v/>
      </c>
      <c r="AA33" s="420" t="str">
        <f t="shared" ref="AA33:AA36" si="100">IF($X33="", "", IF($X33="도비",$N33, 0))</f>
        <v/>
      </c>
      <c r="AC33" s="420" t="str">
        <f t="shared" ref="AC33:AC36" si="101">IF($X33="", "", IF($X33="국비",$P33, 0))</f>
        <v/>
      </c>
      <c r="AD33" s="420" t="str">
        <f t="shared" ref="AD33:AD36" si="102">IF($X33="", "", IF($X33="도비",$P33, 0))</f>
        <v/>
      </c>
      <c r="AF33" s="310" t="str">
        <f>IF(AI33="","",IF($X33="도비","-",CONCATENATE(AI33,"-",COUNTIF($AI$7:AI33,AI33))))</f>
        <v/>
      </c>
      <c r="AG33" s="310" t="str">
        <f t="shared" ref="AG33:AG36" si="103">IF($H33="","",IF($H33="511-01","국비",IF($H33="511-02","균특",IF($H33="511-03","기금",IF($H33="311-02","특교",IF($H33="311-04","소교",IF($H33="321-01","소멸","도비")))))))</f>
        <v/>
      </c>
      <c r="AI33" s="310" t="str">
        <f t="array" ref="AI33">IF(OR(D33="", B33="직접입력", C33="직접입력"),"",INDEX(구분표!$I$2:$I$336, MATCH(1,(구분표!$G$2:$G$336='4. 특입'!B33)*(구분표!$E$2:$E$336='4. 특입'!C33)*(구분표!$F$2:$F$336='4. 특입'!D33),0)))</f>
        <v/>
      </c>
      <c r="AJ33" s="175"/>
      <c r="AK33" s="398" t="str">
        <f>IF($AF33="","",IF($AF33="-",0, SUMIFS('4. 특출'!$AB$6:$AB$2000,'4. 특출'!$AJ$6:$AJ$2000,$AF33)))</f>
        <v/>
      </c>
      <c r="AL33" s="313" t="str">
        <f>IF($AF33="","",IF($AF33="-", 0, COUNTIF('4. 특출'!$AJ$6:$AJ$2000,$AF33)))</f>
        <v/>
      </c>
      <c r="AM33" s="310" t="str">
        <f t="shared" ref="AM33:AM36" si="104">IF($AF33="", "", IF($Z33=$AK33,"OK","@@"))</f>
        <v/>
      </c>
      <c r="AN33" s="175"/>
      <c r="AO33" s="398" t="str">
        <f>IF($AF33="","",IF($AF33="-",0, SUMIFS('4. 특출'!$AF$6:$AF$2000,'4. 특출'!$AJ$6:$AJ$2000,$AF33)))</f>
        <v/>
      </c>
      <c r="AP33" s="313" t="str">
        <f>IF($AF33="","",IF($AF33="-", 0, COUNTIF('4. 특출'!$AJ$6:$AJ$2000,$AF33)))</f>
        <v/>
      </c>
      <c r="AQ33" s="310" t="str">
        <f t="shared" ref="AQ33:AQ36" si="105">IF($AF33="", "", IF($AC33=$AO33,"OK","@@"))</f>
        <v/>
      </c>
    </row>
    <row r="34" spans="1:43" s="120" customFormat="1" ht="69.95" customHeight="1">
      <c r="A34" s="115" t="str">
        <f>IF(D34="","",COUNTA($C$7:C34)-COUNTBLANK($C$7:C34)+6)</f>
        <v/>
      </c>
      <c r="B34" s="116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16" t="str">
        <f>IF(D34="","",IF(OR(D34="교육지원과"),"소방재난본부",VLOOKUP(D34,구분표!$A$3:$C$258,3,)))</f>
        <v/>
      </c>
      <c r="D34" s="173"/>
      <c r="E34" s="161"/>
      <c r="F34" s="323" t="str">
        <f t="shared" ref="F34:G36" si="106">IF($E34="","",IF($E34="2추","직접입력","-"))</f>
        <v/>
      </c>
      <c r="G34" s="323" t="str">
        <f t="shared" si="106"/>
        <v/>
      </c>
      <c r="H34" s="162"/>
      <c r="I34" s="116" t="str">
        <f>IF(H34="","",VLOOKUP($H34,구분표!$O$3:$P$168,2,FALSE))</f>
        <v/>
      </c>
      <c r="J34" s="163"/>
      <c r="K34" s="385" t="str">
        <f t="shared" ref="K34:K36" si="107">IF($E34="","",IF(OR($E34="2추", $E34="1추", $E34="본예산"), "금액입력", "-"))</f>
        <v/>
      </c>
      <c r="L34" s="385" t="str">
        <f t="shared" ref="L34:L36" si="108">IF($E34="", "", IF($E34="2추","금액입력", "-"))</f>
        <v/>
      </c>
      <c r="M34" s="387" t="str">
        <f t="shared" si="94"/>
        <v/>
      </c>
      <c r="N34" s="386"/>
      <c r="O34" s="387">
        <f t="shared" si="95"/>
        <v>0</v>
      </c>
      <c r="P34" s="388"/>
      <c r="Q34" s="389">
        <f t="shared" si="96"/>
        <v>0</v>
      </c>
      <c r="R34" s="118" t="str">
        <f t="shared" si="97"/>
        <v>X</v>
      </c>
      <c r="S34" s="177"/>
      <c r="T34" s="176"/>
      <c r="U34" s="178"/>
      <c r="V34" s="179"/>
      <c r="W34" s="178"/>
      <c r="X34" s="118" t="str">
        <f t="shared" si="98"/>
        <v/>
      </c>
      <c r="Y34" s="174"/>
      <c r="Z34" s="420" t="str">
        <f t="shared" si="99"/>
        <v/>
      </c>
      <c r="AA34" s="420" t="str">
        <f t="shared" si="100"/>
        <v/>
      </c>
      <c r="AC34" s="420" t="str">
        <f t="shared" si="101"/>
        <v/>
      </c>
      <c r="AD34" s="420" t="str">
        <f t="shared" si="102"/>
        <v/>
      </c>
      <c r="AF34" s="310" t="str">
        <f>IF(AI34="","",IF($X34="도비","-",CONCATENATE(AI34,"-",COUNTIF($AI$7:AI34,AI34))))</f>
        <v/>
      </c>
      <c r="AG34" s="310" t="str">
        <f t="shared" si="103"/>
        <v/>
      </c>
      <c r="AI34" s="310" t="str">
        <f t="array" ref="AI34">IF(OR(D34="", B34="직접입력", C34="직접입력"),"",INDEX(구분표!$I$2:$I$336, MATCH(1,(구분표!$G$2:$G$336='4. 특입'!B34)*(구분표!$E$2:$E$336='4. 특입'!C34)*(구분표!$F$2:$F$336='4. 특입'!D34),0)))</f>
        <v/>
      </c>
      <c r="AJ34" s="175"/>
      <c r="AK34" s="398" t="str">
        <f>IF($AF34="","",IF($AF34="-",0, SUMIFS('4. 특출'!$AB$6:$AB$2000,'4. 특출'!$AJ$6:$AJ$2000,$AF34)))</f>
        <v/>
      </c>
      <c r="AL34" s="313" t="str">
        <f>IF($AF34="","",IF($AF34="-", 0, COUNTIF('4. 특출'!$AJ$6:$AJ$2000,$AF34)))</f>
        <v/>
      </c>
      <c r="AM34" s="310" t="str">
        <f t="shared" si="104"/>
        <v/>
      </c>
      <c r="AN34" s="175"/>
      <c r="AO34" s="398" t="str">
        <f>IF($AF34="","",IF($AF34="-",0, SUMIFS('4. 특출'!$AF$6:$AF$2000,'4. 특출'!$AJ$6:$AJ$2000,$AF34)))</f>
        <v/>
      </c>
      <c r="AP34" s="313" t="str">
        <f>IF($AF34="","",IF($AF34="-", 0, COUNTIF('4. 특출'!$AJ$6:$AJ$2000,$AF34)))</f>
        <v/>
      </c>
      <c r="AQ34" s="310" t="str">
        <f t="shared" si="105"/>
        <v/>
      </c>
    </row>
    <row r="35" spans="1:43" s="120" customFormat="1" ht="69.95" customHeight="1">
      <c r="A35" s="115" t="str">
        <f>IF(D35="","",COUNTA($C$7:C35)-COUNTBLANK($C$7:C35)+6)</f>
        <v/>
      </c>
      <c r="B35" s="116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16" t="str">
        <f>IF(D35="","",IF(OR(D35="교육지원과"),"소방재난본부",VLOOKUP(D35,구분표!$A$3:$C$258,3,)))</f>
        <v/>
      </c>
      <c r="D35" s="173"/>
      <c r="E35" s="161"/>
      <c r="F35" s="323" t="str">
        <f t="shared" si="106"/>
        <v/>
      </c>
      <c r="G35" s="323" t="str">
        <f t="shared" si="106"/>
        <v/>
      </c>
      <c r="H35" s="162"/>
      <c r="I35" s="116" t="str">
        <f>IF(H35="","",VLOOKUP($H35,구분표!$O$3:$P$168,2,FALSE))</f>
        <v/>
      </c>
      <c r="J35" s="163"/>
      <c r="K35" s="385" t="str">
        <f t="shared" si="107"/>
        <v/>
      </c>
      <c r="L35" s="385" t="str">
        <f t="shared" si="108"/>
        <v/>
      </c>
      <c r="M35" s="387" t="str">
        <f t="shared" si="94"/>
        <v/>
      </c>
      <c r="N35" s="386"/>
      <c r="O35" s="387">
        <f t="shared" si="95"/>
        <v>0</v>
      </c>
      <c r="P35" s="388"/>
      <c r="Q35" s="389">
        <f t="shared" si="96"/>
        <v>0</v>
      </c>
      <c r="R35" s="118" t="str">
        <f t="shared" si="97"/>
        <v>X</v>
      </c>
      <c r="S35" s="177"/>
      <c r="T35" s="176"/>
      <c r="U35" s="178"/>
      <c r="V35" s="179"/>
      <c r="W35" s="178"/>
      <c r="X35" s="118" t="str">
        <f t="shared" si="98"/>
        <v/>
      </c>
      <c r="Y35" s="174"/>
      <c r="Z35" s="420" t="str">
        <f t="shared" si="99"/>
        <v/>
      </c>
      <c r="AA35" s="420" t="str">
        <f t="shared" si="100"/>
        <v/>
      </c>
      <c r="AC35" s="420" t="str">
        <f t="shared" si="101"/>
        <v/>
      </c>
      <c r="AD35" s="420" t="str">
        <f t="shared" si="102"/>
        <v/>
      </c>
      <c r="AF35" s="310" t="str">
        <f>IF(AI35="","",IF($X35="도비","-",CONCATENATE(AI35,"-",COUNTIF($AI$7:AI35,AI35))))</f>
        <v/>
      </c>
      <c r="AG35" s="310" t="str">
        <f t="shared" si="103"/>
        <v/>
      </c>
      <c r="AI35" s="310" t="str">
        <f t="array" ref="AI35">IF(OR(D35="", B35="직접입력", C35="직접입력"),"",INDEX(구분표!$I$2:$I$336, MATCH(1,(구분표!$G$2:$G$336='4. 특입'!B35)*(구분표!$E$2:$E$336='4. 특입'!C35)*(구분표!$F$2:$F$336='4. 특입'!D35),0)))</f>
        <v/>
      </c>
      <c r="AJ35" s="175"/>
      <c r="AK35" s="398" t="str">
        <f>IF($AF35="","",IF($AF35="-",0, SUMIFS('4. 특출'!$AB$6:$AB$2000,'4. 특출'!$AJ$6:$AJ$2000,$AF35)))</f>
        <v/>
      </c>
      <c r="AL35" s="313" t="str">
        <f>IF($AF35="","",IF($AF35="-", 0, COUNTIF('4. 특출'!$AJ$6:$AJ$2000,$AF35)))</f>
        <v/>
      </c>
      <c r="AM35" s="310" t="str">
        <f t="shared" si="104"/>
        <v/>
      </c>
      <c r="AN35" s="175"/>
      <c r="AO35" s="398" t="str">
        <f>IF($AF35="","",IF($AF35="-",0, SUMIFS('4. 특출'!$AF$6:$AF$2000,'4. 특출'!$AJ$6:$AJ$2000,$AF35)))</f>
        <v/>
      </c>
      <c r="AP35" s="313" t="str">
        <f>IF($AF35="","",IF($AF35="-", 0, COUNTIF('4. 특출'!$AJ$6:$AJ$2000,$AF35)))</f>
        <v/>
      </c>
      <c r="AQ35" s="310" t="str">
        <f t="shared" si="105"/>
        <v/>
      </c>
    </row>
    <row r="36" spans="1:43" s="120" customFormat="1" ht="69.95" customHeight="1">
      <c r="A36" s="115" t="str">
        <f>IF(D36="","",COUNTA($C$7:C36)-COUNTBLANK($C$7:C36)+6)</f>
        <v/>
      </c>
      <c r="B36" s="116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16" t="str">
        <f>IF(D36="","",IF(OR(D36="교육지원과"),"소방재난본부",VLOOKUP(D36,구분표!$A$3:$C$258,3,)))</f>
        <v/>
      </c>
      <c r="D36" s="173"/>
      <c r="E36" s="161"/>
      <c r="F36" s="323" t="str">
        <f t="shared" si="106"/>
        <v/>
      </c>
      <c r="G36" s="323" t="str">
        <f t="shared" si="106"/>
        <v/>
      </c>
      <c r="H36" s="162"/>
      <c r="I36" s="116" t="str">
        <f>IF(H36="","",VLOOKUP($H36,구분표!$O$3:$P$168,2,FALSE))</f>
        <v/>
      </c>
      <c r="J36" s="163"/>
      <c r="K36" s="385" t="str">
        <f t="shared" si="107"/>
        <v/>
      </c>
      <c r="L36" s="385" t="str">
        <f t="shared" si="108"/>
        <v/>
      </c>
      <c r="M36" s="387" t="str">
        <f t="shared" si="94"/>
        <v/>
      </c>
      <c r="N36" s="386"/>
      <c r="O36" s="387">
        <f t="shared" si="95"/>
        <v>0</v>
      </c>
      <c r="P36" s="388"/>
      <c r="Q36" s="389">
        <f t="shared" si="96"/>
        <v>0</v>
      </c>
      <c r="R36" s="118" t="str">
        <f t="shared" si="97"/>
        <v>X</v>
      </c>
      <c r="S36" s="177"/>
      <c r="T36" s="176"/>
      <c r="U36" s="178"/>
      <c r="V36" s="179"/>
      <c r="W36" s="178"/>
      <c r="X36" s="118" t="str">
        <f t="shared" si="98"/>
        <v/>
      </c>
      <c r="Y36" s="174"/>
      <c r="Z36" s="420" t="str">
        <f t="shared" si="99"/>
        <v/>
      </c>
      <c r="AA36" s="420" t="str">
        <f t="shared" si="100"/>
        <v/>
      </c>
      <c r="AC36" s="420" t="str">
        <f t="shared" si="101"/>
        <v/>
      </c>
      <c r="AD36" s="420" t="str">
        <f t="shared" si="102"/>
        <v/>
      </c>
      <c r="AF36" s="310" t="str">
        <f>IF(AI36="","",IF($X36="도비","-",CONCATENATE(AI36,"-",COUNTIF($AI$7:AI36,AI36))))</f>
        <v/>
      </c>
      <c r="AG36" s="310" t="str">
        <f t="shared" si="103"/>
        <v/>
      </c>
      <c r="AI36" s="310" t="str">
        <f t="array" ref="AI36">IF(OR(D36="", B36="직접입력", C36="직접입력"),"",INDEX(구분표!$I$2:$I$336, MATCH(1,(구분표!$G$2:$G$336='4. 특입'!B36)*(구분표!$E$2:$E$336='4. 특입'!C36)*(구분표!$F$2:$F$336='4. 특입'!D36),0)))</f>
        <v/>
      </c>
      <c r="AJ36" s="175"/>
      <c r="AK36" s="398" t="str">
        <f>IF($AF36="","",IF($AF36="-",0, SUMIFS('4. 특출'!$AB$6:$AB$2000,'4. 특출'!$AJ$6:$AJ$2000,$AF36)))</f>
        <v/>
      </c>
      <c r="AL36" s="313" t="str">
        <f>IF($AF36="","",IF($AF36="-", 0, COUNTIF('4. 특출'!$AJ$6:$AJ$2000,$AF36)))</f>
        <v/>
      </c>
      <c r="AM36" s="310" t="str">
        <f t="shared" si="104"/>
        <v/>
      </c>
      <c r="AN36" s="175"/>
      <c r="AO36" s="398" t="str">
        <f>IF($AF36="","",IF($AF36="-",0, SUMIFS('4. 특출'!$AF$6:$AF$2000,'4. 특출'!$AJ$6:$AJ$2000,$AF36)))</f>
        <v/>
      </c>
      <c r="AP36" s="313" t="str">
        <f>IF($AF36="","",IF($AF36="-", 0, COUNTIF('4. 특출'!$AJ$6:$AJ$2000,$AF36)))</f>
        <v/>
      </c>
      <c r="AQ36" s="310" t="str">
        <f t="shared" si="105"/>
        <v/>
      </c>
    </row>
    <row r="37" spans="1:43" ht="69.95" customHeight="1">
      <c r="A37" s="122"/>
      <c r="B37" s="664" t="s">
        <v>1031</v>
      </c>
      <c r="C37" s="664"/>
      <c r="D37" s="664"/>
      <c r="E37" s="664"/>
      <c r="F37" s="664"/>
      <c r="G37" s="664"/>
      <c r="H37" s="123"/>
      <c r="I37" s="123"/>
      <c r="J37" s="291" t="str">
        <f>SUBTOTAL(3,J38:J41)&amp;"건"</f>
        <v>0건</v>
      </c>
      <c r="K37" s="384">
        <f t="shared" ref="K37:Q37" si="109">SUBTOTAL(9,K38:K41)</f>
        <v>0</v>
      </c>
      <c r="L37" s="384">
        <f t="shared" si="109"/>
        <v>0</v>
      </c>
      <c r="M37" s="384">
        <f t="shared" si="109"/>
        <v>0</v>
      </c>
      <c r="N37" s="384">
        <f t="shared" si="109"/>
        <v>0</v>
      </c>
      <c r="O37" s="384">
        <f t="shared" si="109"/>
        <v>0</v>
      </c>
      <c r="P37" s="384">
        <f t="shared" si="109"/>
        <v>0</v>
      </c>
      <c r="Q37" s="384">
        <f t="shared" si="109"/>
        <v>0</v>
      </c>
      <c r="R37" s="122"/>
      <c r="S37" s="122"/>
      <c r="T37" s="122"/>
      <c r="U37" s="122"/>
      <c r="V37" s="122"/>
      <c r="W37" s="122"/>
      <c r="X37" s="124"/>
      <c r="Y37" s="42"/>
      <c r="Z37" s="384">
        <f>SUBTOTAL(9,Z38:Z41)</f>
        <v>0</v>
      </c>
      <c r="AA37" s="384">
        <f>SUBTOTAL(9,AA38:AA41)</f>
        <v>0</v>
      </c>
      <c r="AB37" s="43"/>
      <c r="AC37" s="384">
        <f>SUBTOTAL(9,AC38:AC41)</f>
        <v>0</v>
      </c>
      <c r="AD37" s="384">
        <f>SUBTOTAL(9,AD38:AD41)</f>
        <v>0</v>
      </c>
      <c r="AE37" s="43"/>
      <c r="AF37" s="122"/>
      <c r="AG37" s="124"/>
      <c r="AH37" s="43"/>
      <c r="AI37" s="124"/>
      <c r="AJ37" s="43"/>
      <c r="AK37" s="384">
        <f>SUBTOTAL(9,AK38:AK41)</f>
        <v>0</v>
      </c>
      <c r="AL37" s="384">
        <f>SUBTOTAL(9,AL38:AL41)</f>
        <v>0</v>
      </c>
      <c r="AM37" s="470" t="str">
        <f>IF(COUNTIF(AM38:AM41,"@@")&gt;0,"@@","OK")</f>
        <v>OK</v>
      </c>
      <c r="AN37" s="43"/>
      <c r="AO37" s="384">
        <f t="shared" ref="AO37" si="110">SUBTOTAL(9,AO38:AO41)</f>
        <v>0</v>
      </c>
      <c r="AP37" s="384">
        <f t="shared" ref="AP37" si="111">SUBTOTAL(9,AP38:AP41)</f>
        <v>0</v>
      </c>
      <c r="AQ37" s="470" t="str">
        <f>IF(COUNTIF(AQ38:AQ41,"@@")&gt;0,"@@","OK")</f>
        <v>OK</v>
      </c>
    </row>
    <row r="38" spans="1:43" s="120" customFormat="1" ht="69.95" customHeight="1">
      <c r="A38" s="115" t="str">
        <f>IF(D38="","",COUNTA($C$7:C38)-COUNTBLANK($C$7:C38)+7)</f>
        <v/>
      </c>
      <c r="B38" s="116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16" t="str">
        <f>IF(D38="","",IF(OR(D38="교육지원과"),"소방재난본부",VLOOKUP(D38,구분표!$A$3:$C$258,3,)))</f>
        <v/>
      </c>
      <c r="D38" s="173"/>
      <c r="E38" s="161"/>
      <c r="F38" s="323" t="str">
        <f>IF($E38="","",IF($E38="2추","직접입력","-"))</f>
        <v/>
      </c>
      <c r="G38" s="323" t="str">
        <f>IF($E38="","",IF($E38="2추","직접입력","-"))</f>
        <v/>
      </c>
      <c r="H38" s="162"/>
      <c r="I38" s="116" t="str">
        <f>IF(H38="","",VLOOKUP($H38,구분표!$O$3:$P$168,2,FALSE))</f>
        <v/>
      </c>
      <c r="J38" s="163"/>
      <c r="K38" s="385" t="str">
        <f>IF($E38="","",IF(OR($E38="2추", $E38="1추", $E38="본예산"), "금액입력", "-"))</f>
        <v/>
      </c>
      <c r="L38" s="385" t="str">
        <f>IF($E38="", "", IF($E38="2추","금액입력", "-"))</f>
        <v/>
      </c>
      <c r="M38" s="387" t="str">
        <f t="shared" ref="M38:M41" si="112">IF($E38="","",SUM(K38:L38))</f>
        <v/>
      </c>
      <c r="N38" s="386"/>
      <c r="O38" s="387">
        <f t="shared" ref="O38:O41" si="113">SUM(M38:N38)</f>
        <v>0</v>
      </c>
      <c r="P38" s="388"/>
      <c r="Q38" s="389">
        <f t="shared" ref="Q38:Q41" si="114">SUM(M38,P38)</f>
        <v>0</v>
      </c>
      <c r="R38" s="118" t="str">
        <f t="shared" ref="R38:R41" si="115">IF(AND((O38=0),(Q38&gt;0)),"O",IF(AND((N38&lt;0),(O38-Q38&lt;0)),"O","X"))</f>
        <v>X</v>
      </c>
      <c r="S38" s="177"/>
      <c r="T38" s="176"/>
      <c r="U38" s="178"/>
      <c r="V38" s="179"/>
      <c r="W38" s="178"/>
      <c r="X38" s="118" t="str">
        <f t="shared" ref="X38:X41" si="116">IF($H38="","",IF(OR($H38="511-01", $H38="511-02", $H38="511-03", $H38="311-02", $H38="311-04", $H38="321-01"),"국비","도비"))</f>
        <v/>
      </c>
      <c r="Y38" s="174"/>
      <c r="Z38" s="420" t="str">
        <f t="shared" ref="Z38:Z41" si="117">IF($X38="", "", IF($X38="국비",$N38, 0))</f>
        <v/>
      </c>
      <c r="AA38" s="420" t="str">
        <f t="shared" ref="AA38:AA41" si="118">IF($X38="", "", IF($X38="도비",$N38, 0))</f>
        <v/>
      </c>
      <c r="AC38" s="420" t="str">
        <f t="shared" ref="AC38:AC41" si="119">IF($X38="", "", IF($X38="국비",$P38, 0))</f>
        <v/>
      </c>
      <c r="AD38" s="420" t="str">
        <f t="shared" ref="AD38:AD41" si="120">IF($X38="", "", IF($X38="도비",$P38, 0))</f>
        <v/>
      </c>
      <c r="AF38" s="310" t="str">
        <f>IF(AI38="","",IF($X38="도비","-",CONCATENATE(AI38,"-",COUNTIF($AI$7:AI38,AI38))))</f>
        <v/>
      </c>
      <c r="AG38" s="310" t="str">
        <f t="shared" ref="AG38:AG41" si="121">IF($H38="","",IF($H38="511-01","국비",IF($H38="511-02","균특",IF($H38="511-03","기금",IF($H38="311-02","특교",IF($H38="311-04","소교",IF($H38="321-01","소멸","도비")))))))</f>
        <v/>
      </c>
      <c r="AI38" s="310" t="str">
        <f t="array" ref="AI38">IF(OR(D38="", B38="직접입력", C38="직접입력"),"",INDEX(구분표!$I$2:$I$336, MATCH(1,(구분표!$G$2:$G$336='4. 특입'!B38)*(구분표!$E$2:$E$336='4. 특입'!C38)*(구분표!$F$2:$F$336='4. 특입'!D38),0)))</f>
        <v/>
      </c>
      <c r="AJ38" s="175"/>
      <c r="AK38" s="398" t="str">
        <f>IF($AF38="","",IF($AF38="-",0, SUMIFS('4. 특출'!$AB$6:$AB$2000,'4. 특출'!$AJ$6:$AJ$2000,$AF38)))</f>
        <v/>
      </c>
      <c r="AL38" s="313" t="str">
        <f>IF($AF38="","",IF($AF38="-", 0, COUNTIF('4. 특출'!$AJ$6:$AJ$2000,$AF38)))</f>
        <v/>
      </c>
      <c r="AM38" s="310" t="str">
        <f t="shared" ref="AM38:AM41" si="122">IF($AF38="", "", IF($Z38=$AK38,"OK","@@"))</f>
        <v/>
      </c>
      <c r="AN38" s="175"/>
      <c r="AO38" s="398" t="str">
        <f>IF($AF38="","",IF($AF38="-",0, SUMIFS('4. 특출'!$AF$6:$AF$2000,'4. 특출'!$AJ$6:$AJ$2000,$AF38)))</f>
        <v/>
      </c>
      <c r="AP38" s="313" t="str">
        <f>IF($AF38="","",IF($AF38="-", 0, COUNTIF('4. 특출'!$AJ$6:$AJ$2000,$AF38)))</f>
        <v/>
      </c>
      <c r="AQ38" s="310" t="str">
        <f t="shared" ref="AQ38:AQ41" si="123">IF($AF38="", "", IF($AC38=$AO38,"OK","@@"))</f>
        <v/>
      </c>
    </row>
    <row r="39" spans="1:43" s="120" customFormat="1" ht="69.95" customHeight="1">
      <c r="A39" s="115" t="str">
        <f>IF(D39="","",COUNTA($C$7:C39)-COUNTBLANK($C$7:C39)+7)</f>
        <v/>
      </c>
      <c r="B39" s="116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16" t="str">
        <f>IF(D39="","",IF(OR(D39="교육지원과"),"소방재난본부",VLOOKUP(D39,구분표!$A$3:$C$258,3,)))</f>
        <v/>
      </c>
      <c r="D39" s="173"/>
      <c r="E39" s="161"/>
      <c r="F39" s="323" t="str">
        <f t="shared" ref="F39:G41" si="124">IF($E39="","",IF($E39="2추","직접입력","-"))</f>
        <v/>
      </c>
      <c r="G39" s="323" t="str">
        <f t="shared" si="124"/>
        <v/>
      </c>
      <c r="H39" s="162"/>
      <c r="I39" s="116" t="str">
        <f>IF(H39="","",VLOOKUP($H39,구분표!$O$3:$P$168,2,FALSE))</f>
        <v/>
      </c>
      <c r="J39" s="163"/>
      <c r="K39" s="385" t="str">
        <f t="shared" ref="K39:K41" si="125">IF($E39="","",IF(OR($E39="2추", $E39="1추", $E39="본예산"), "금액입력", "-"))</f>
        <v/>
      </c>
      <c r="L39" s="385" t="str">
        <f t="shared" ref="L39:L41" si="126">IF($E39="", "", IF($E39="2추","금액입력", "-"))</f>
        <v/>
      </c>
      <c r="M39" s="387" t="str">
        <f t="shared" si="112"/>
        <v/>
      </c>
      <c r="N39" s="386"/>
      <c r="O39" s="387">
        <f t="shared" si="113"/>
        <v>0</v>
      </c>
      <c r="P39" s="388"/>
      <c r="Q39" s="389">
        <f t="shared" si="114"/>
        <v>0</v>
      </c>
      <c r="R39" s="118" t="str">
        <f t="shared" si="115"/>
        <v>X</v>
      </c>
      <c r="S39" s="177"/>
      <c r="T39" s="176"/>
      <c r="U39" s="178"/>
      <c r="V39" s="179"/>
      <c r="W39" s="178"/>
      <c r="X39" s="118" t="str">
        <f t="shared" si="116"/>
        <v/>
      </c>
      <c r="Y39" s="174"/>
      <c r="Z39" s="420" t="str">
        <f t="shared" si="117"/>
        <v/>
      </c>
      <c r="AA39" s="420" t="str">
        <f t="shared" si="118"/>
        <v/>
      </c>
      <c r="AC39" s="420" t="str">
        <f t="shared" si="119"/>
        <v/>
      </c>
      <c r="AD39" s="420" t="str">
        <f t="shared" si="120"/>
        <v/>
      </c>
      <c r="AF39" s="310" t="str">
        <f>IF(AI39="","",IF($X39="도비","-",CONCATENATE(AI39,"-",COUNTIF($AI$7:AI39,AI39))))</f>
        <v/>
      </c>
      <c r="AG39" s="310" t="str">
        <f t="shared" si="121"/>
        <v/>
      </c>
      <c r="AI39" s="310" t="str">
        <f t="array" ref="AI39">IF(OR(D39="", B39="직접입력", C39="직접입력"),"",INDEX(구분표!$I$2:$I$336, MATCH(1,(구분표!$G$2:$G$336='4. 특입'!B39)*(구분표!$E$2:$E$336='4. 특입'!C39)*(구분표!$F$2:$F$336='4. 특입'!D39),0)))</f>
        <v/>
      </c>
      <c r="AJ39" s="175"/>
      <c r="AK39" s="398" t="str">
        <f>IF($AF39="","",IF($AF39="-",0, SUMIFS('4. 특출'!$AB$6:$AB$2000,'4. 특출'!$AJ$6:$AJ$2000,$AF39)))</f>
        <v/>
      </c>
      <c r="AL39" s="313" t="str">
        <f>IF($AF39="","",IF($AF39="-", 0, COUNTIF('4. 특출'!$AJ$6:$AJ$2000,$AF39)))</f>
        <v/>
      </c>
      <c r="AM39" s="310" t="str">
        <f t="shared" si="122"/>
        <v/>
      </c>
      <c r="AN39" s="175"/>
      <c r="AO39" s="398" t="str">
        <f>IF($AF39="","",IF($AF39="-",0, SUMIFS('4. 특출'!$AF$6:$AF$2000,'4. 특출'!$AJ$6:$AJ$2000,$AF39)))</f>
        <v/>
      </c>
      <c r="AP39" s="313" t="str">
        <f>IF($AF39="","",IF($AF39="-", 0, COUNTIF('4. 특출'!$AJ$6:$AJ$2000,$AF39)))</f>
        <v/>
      </c>
      <c r="AQ39" s="310" t="str">
        <f t="shared" si="123"/>
        <v/>
      </c>
    </row>
    <row r="40" spans="1:43" s="120" customFormat="1" ht="69.95" customHeight="1">
      <c r="A40" s="115" t="str">
        <f>IF(D40="","",COUNTA($C$7:C40)-COUNTBLANK($C$7:C40)+7)</f>
        <v/>
      </c>
      <c r="B40" s="116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16" t="str">
        <f>IF(D40="","",IF(OR(D40="교육지원과"),"소방재난본부",VLOOKUP(D40,구분표!$A$3:$C$258,3,)))</f>
        <v/>
      </c>
      <c r="D40" s="173"/>
      <c r="E40" s="161"/>
      <c r="F40" s="323" t="str">
        <f t="shared" si="124"/>
        <v/>
      </c>
      <c r="G40" s="323" t="str">
        <f t="shared" si="124"/>
        <v/>
      </c>
      <c r="H40" s="162"/>
      <c r="I40" s="116" t="str">
        <f>IF(H40="","",VLOOKUP($H40,구분표!$O$3:$P$168,2,FALSE))</f>
        <v/>
      </c>
      <c r="J40" s="163"/>
      <c r="K40" s="385" t="str">
        <f t="shared" si="125"/>
        <v/>
      </c>
      <c r="L40" s="385" t="str">
        <f t="shared" si="126"/>
        <v/>
      </c>
      <c r="M40" s="387" t="str">
        <f t="shared" si="112"/>
        <v/>
      </c>
      <c r="N40" s="386"/>
      <c r="O40" s="387">
        <f t="shared" si="113"/>
        <v>0</v>
      </c>
      <c r="P40" s="388"/>
      <c r="Q40" s="389">
        <f t="shared" si="114"/>
        <v>0</v>
      </c>
      <c r="R40" s="118" t="str">
        <f t="shared" si="115"/>
        <v>X</v>
      </c>
      <c r="S40" s="177"/>
      <c r="T40" s="176"/>
      <c r="U40" s="178"/>
      <c r="V40" s="179"/>
      <c r="W40" s="178"/>
      <c r="X40" s="118" t="str">
        <f t="shared" si="116"/>
        <v/>
      </c>
      <c r="Y40" s="174"/>
      <c r="Z40" s="420" t="str">
        <f t="shared" si="117"/>
        <v/>
      </c>
      <c r="AA40" s="420" t="str">
        <f t="shared" si="118"/>
        <v/>
      </c>
      <c r="AC40" s="420" t="str">
        <f t="shared" si="119"/>
        <v/>
      </c>
      <c r="AD40" s="420" t="str">
        <f t="shared" si="120"/>
        <v/>
      </c>
      <c r="AF40" s="310" t="str">
        <f>IF(AI40="","",IF($X40="도비","-",CONCATENATE(AI40,"-",COUNTIF($AI$7:AI40,AI40))))</f>
        <v/>
      </c>
      <c r="AG40" s="310" t="str">
        <f t="shared" si="121"/>
        <v/>
      </c>
      <c r="AI40" s="310" t="str">
        <f t="array" ref="AI40">IF(OR(D40="", B40="직접입력", C40="직접입력"),"",INDEX(구분표!$I$2:$I$336, MATCH(1,(구분표!$G$2:$G$336='4. 특입'!B40)*(구분표!$E$2:$E$336='4. 특입'!C40)*(구분표!$F$2:$F$336='4. 특입'!D40),0)))</f>
        <v/>
      </c>
      <c r="AJ40" s="175"/>
      <c r="AK40" s="398" t="str">
        <f>IF($AF40="","",IF($AF40="-",0, SUMIFS('4. 특출'!$AB$6:$AB$2000,'4. 특출'!$AJ$6:$AJ$2000,$AF40)))</f>
        <v/>
      </c>
      <c r="AL40" s="313" t="str">
        <f>IF($AF40="","",IF($AF40="-", 0, COUNTIF('4. 특출'!$AJ$6:$AJ$2000,$AF40)))</f>
        <v/>
      </c>
      <c r="AM40" s="310" t="str">
        <f t="shared" si="122"/>
        <v/>
      </c>
      <c r="AN40" s="175"/>
      <c r="AO40" s="398" t="str">
        <f>IF($AF40="","",IF($AF40="-",0, SUMIFS('4. 특출'!$AF$6:$AF$2000,'4. 특출'!$AJ$6:$AJ$2000,$AF40)))</f>
        <v/>
      </c>
      <c r="AP40" s="313" t="str">
        <f>IF($AF40="","",IF($AF40="-", 0, COUNTIF('4. 특출'!$AJ$6:$AJ$2000,$AF40)))</f>
        <v/>
      </c>
      <c r="AQ40" s="310" t="str">
        <f t="shared" si="123"/>
        <v/>
      </c>
    </row>
    <row r="41" spans="1:43" s="120" customFormat="1" ht="69.95" customHeight="1">
      <c r="A41" s="115" t="str">
        <f>IF(D41="","",COUNTA($C$7:C41)-COUNTBLANK($C$7:C41)+7)</f>
        <v/>
      </c>
      <c r="B41" s="116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16" t="str">
        <f>IF(D41="","",IF(OR(D41="교육지원과"),"소방재난본부",VLOOKUP(D41,구분표!$A$3:$C$258,3,)))</f>
        <v/>
      </c>
      <c r="D41" s="173"/>
      <c r="E41" s="161"/>
      <c r="F41" s="323" t="str">
        <f t="shared" si="124"/>
        <v/>
      </c>
      <c r="G41" s="323" t="str">
        <f t="shared" si="124"/>
        <v/>
      </c>
      <c r="H41" s="162"/>
      <c r="I41" s="116" t="str">
        <f>IF(H41="","",VLOOKUP($H41,구분표!$O$3:$P$168,2,FALSE))</f>
        <v/>
      </c>
      <c r="J41" s="163"/>
      <c r="K41" s="385" t="str">
        <f t="shared" si="125"/>
        <v/>
      </c>
      <c r="L41" s="385" t="str">
        <f t="shared" si="126"/>
        <v/>
      </c>
      <c r="M41" s="387" t="str">
        <f t="shared" si="112"/>
        <v/>
      </c>
      <c r="N41" s="386"/>
      <c r="O41" s="387">
        <f t="shared" si="113"/>
        <v>0</v>
      </c>
      <c r="P41" s="388"/>
      <c r="Q41" s="389">
        <f t="shared" si="114"/>
        <v>0</v>
      </c>
      <c r="R41" s="118" t="str">
        <f t="shared" si="115"/>
        <v>X</v>
      </c>
      <c r="S41" s="177"/>
      <c r="T41" s="176"/>
      <c r="U41" s="178"/>
      <c r="V41" s="179"/>
      <c r="W41" s="178"/>
      <c r="X41" s="118" t="str">
        <f t="shared" si="116"/>
        <v/>
      </c>
      <c r="Y41" s="174"/>
      <c r="Z41" s="420" t="str">
        <f t="shared" si="117"/>
        <v/>
      </c>
      <c r="AA41" s="420" t="str">
        <f t="shared" si="118"/>
        <v/>
      </c>
      <c r="AC41" s="420" t="str">
        <f t="shared" si="119"/>
        <v/>
      </c>
      <c r="AD41" s="420" t="str">
        <f t="shared" si="120"/>
        <v/>
      </c>
      <c r="AF41" s="310" t="str">
        <f>IF(AI41="","",IF($X41="도비","-",CONCATENATE(AI41,"-",COUNTIF($AI$7:AI41,AI41))))</f>
        <v/>
      </c>
      <c r="AG41" s="310" t="str">
        <f t="shared" si="121"/>
        <v/>
      </c>
      <c r="AI41" s="310" t="str">
        <f t="array" ref="AI41">IF(OR(D41="", B41="직접입력", C41="직접입력"),"",INDEX(구분표!$I$2:$I$336, MATCH(1,(구분표!$G$2:$G$336='4. 특입'!B41)*(구분표!$E$2:$E$336='4. 특입'!C41)*(구분표!$F$2:$F$336='4. 특입'!D41),0)))</f>
        <v/>
      </c>
      <c r="AJ41" s="175"/>
      <c r="AK41" s="398" t="str">
        <f>IF($AF41="","",IF($AF41="-",0, SUMIFS('4. 특출'!$AB$6:$AB$2000,'4. 특출'!$AJ$6:$AJ$2000,$AF41)))</f>
        <v/>
      </c>
      <c r="AL41" s="313" t="str">
        <f>IF($AF41="","",IF($AF41="-", 0, COUNTIF('4. 특출'!$AJ$6:$AJ$2000,$AF41)))</f>
        <v/>
      </c>
      <c r="AM41" s="310" t="str">
        <f t="shared" si="122"/>
        <v/>
      </c>
      <c r="AN41" s="175"/>
      <c r="AO41" s="398" t="str">
        <f>IF($AF41="","",IF($AF41="-",0, SUMIFS('4. 특출'!$AF$6:$AF$2000,'4. 특출'!$AJ$6:$AJ$2000,$AF41)))</f>
        <v/>
      </c>
      <c r="AP41" s="313" t="str">
        <f>IF($AF41="","",IF($AF41="-", 0, COUNTIF('4. 특출'!$AJ$6:$AJ$2000,$AF41)))</f>
        <v/>
      </c>
      <c r="AQ41" s="310" t="str">
        <f t="shared" si="123"/>
        <v/>
      </c>
    </row>
    <row r="42" spans="1:43" ht="69.95" customHeight="1">
      <c r="A42" s="122"/>
      <c r="B42" s="664" t="s">
        <v>770</v>
      </c>
      <c r="C42" s="664"/>
      <c r="D42" s="664"/>
      <c r="E42" s="664"/>
      <c r="F42" s="664"/>
      <c r="G42" s="664"/>
      <c r="H42" s="123"/>
      <c r="I42" s="123"/>
      <c r="J42" s="291" t="str">
        <f>SUBTOTAL(3,J43:J46)&amp;"건"</f>
        <v>0건</v>
      </c>
      <c r="K42" s="384">
        <f t="shared" ref="K42:Q42" si="127">SUBTOTAL(9,K43:K46)</f>
        <v>0</v>
      </c>
      <c r="L42" s="384">
        <f t="shared" si="127"/>
        <v>0</v>
      </c>
      <c r="M42" s="384">
        <f t="shared" si="127"/>
        <v>0</v>
      </c>
      <c r="N42" s="384">
        <f t="shared" si="127"/>
        <v>0</v>
      </c>
      <c r="O42" s="384">
        <f t="shared" si="127"/>
        <v>0</v>
      </c>
      <c r="P42" s="384">
        <f t="shared" si="127"/>
        <v>0</v>
      </c>
      <c r="Q42" s="384">
        <f t="shared" si="127"/>
        <v>0</v>
      </c>
      <c r="R42" s="122"/>
      <c r="S42" s="122"/>
      <c r="T42" s="122"/>
      <c r="U42" s="122"/>
      <c r="V42" s="122"/>
      <c r="W42" s="122"/>
      <c r="X42" s="124"/>
      <c r="Y42" s="42"/>
      <c r="Z42" s="384">
        <f>SUBTOTAL(9,Z43:Z46)</f>
        <v>0</v>
      </c>
      <c r="AA42" s="384">
        <f>SUBTOTAL(9,AA43:AA46)</f>
        <v>0</v>
      </c>
      <c r="AB42" s="43"/>
      <c r="AC42" s="384">
        <f>SUBTOTAL(9,AC43:AC46)</f>
        <v>0</v>
      </c>
      <c r="AD42" s="384">
        <f>SUBTOTAL(9,AD43:AD46)</f>
        <v>0</v>
      </c>
      <c r="AE42" s="43"/>
      <c r="AF42" s="122"/>
      <c r="AG42" s="124"/>
      <c r="AH42" s="43"/>
      <c r="AI42" s="124"/>
      <c r="AJ42" s="43"/>
      <c r="AK42" s="384">
        <f>SUBTOTAL(9,AK43:AK46)</f>
        <v>0</v>
      </c>
      <c r="AL42" s="384">
        <f>SUBTOTAL(9,AL43:AL46)</f>
        <v>0</v>
      </c>
      <c r="AM42" s="470" t="str">
        <f>IF(COUNTIF(AM43:AM46,"@@")&gt;0,"@@","OK")</f>
        <v>OK</v>
      </c>
      <c r="AN42" s="43"/>
      <c r="AO42" s="384">
        <f t="shared" ref="AO42" si="128">SUBTOTAL(9,AO43:AO46)</f>
        <v>0</v>
      </c>
      <c r="AP42" s="384">
        <f t="shared" ref="AP42" si="129">SUBTOTAL(9,AP43:AP46)</f>
        <v>0</v>
      </c>
      <c r="AQ42" s="470" t="str">
        <f>IF(COUNTIF(AQ43:AQ46,"@@")&gt;0,"@@","OK")</f>
        <v>OK</v>
      </c>
    </row>
    <row r="43" spans="1:43" s="120" customFormat="1" ht="69.95" customHeight="1">
      <c r="A43" s="115" t="str">
        <f>IF(D43="","",COUNTA($C$7:C43)-COUNTBLANK($C$7:C43)+8)</f>
        <v/>
      </c>
      <c r="B43" s="116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16" t="str">
        <f>IF(D43="","",IF(OR(D43="교육지원과"),"소방재난본부",VLOOKUP(D43,구분표!$A$3:$C$258,3,)))</f>
        <v/>
      </c>
      <c r="D43" s="173"/>
      <c r="E43" s="161"/>
      <c r="F43" s="323" t="str">
        <f>IF($E43="","",IF($E43="2추","직접입력","-"))</f>
        <v/>
      </c>
      <c r="G43" s="323" t="str">
        <f>IF($E43="","",IF($E43="2추","직접입력","-"))</f>
        <v/>
      </c>
      <c r="H43" s="162"/>
      <c r="I43" s="116" t="str">
        <f>IF(H43="","",VLOOKUP($H43,구분표!$O$3:$P$168,2,FALSE))</f>
        <v/>
      </c>
      <c r="J43" s="163"/>
      <c r="K43" s="385" t="str">
        <f>IF($E43="","",IF(OR($E43="2추", $E43="1추", $E43="본예산"), "금액입력", "-"))</f>
        <v/>
      </c>
      <c r="L43" s="385" t="str">
        <f>IF($E43="", "", IF($E43="2추","금액입력", "-"))</f>
        <v/>
      </c>
      <c r="M43" s="387" t="str">
        <f t="shared" ref="M43:M46" si="130">IF($E43="","",SUM(K43:L43))</f>
        <v/>
      </c>
      <c r="N43" s="386"/>
      <c r="O43" s="387">
        <f t="shared" ref="O43:O46" si="131">SUM(M43:N43)</f>
        <v>0</v>
      </c>
      <c r="P43" s="388"/>
      <c r="Q43" s="389">
        <f t="shared" ref="Q43:Q46" si="132">SUM(M43,P43)</f>
        <v>0</v>
      </c>
      <c r="R43" s="118" t="str">
        <f t="shared" ref="R43:R46" si="133">IF(AND((O43=0),(Q43&gt;0)),"O",IF(AND((N43&lt;0),(O43-Q43&lt;0)),"O","X"))</f>
        <v>X</v>
      </c>
      <c r="S43" s="177"/>
      <c r="T43" s="176"/>
      <c r="U43" s="178"/>
      <c r="V43" s="179"/>
      <c r="W43" s="178"/>
      <c r="X43" s="118" t="str">
        <f t="shared" ref="X43:X46" si="134">IF($H43="","",IF(OR($H43="511-01", $H43="511-02", $H43="511-03", $H43="311-02", $H43="311-04", $H43="321-01"),"국비","도비"))</f>
        <v/>
      </c>
      <c r="Y43" s="174"/>
      <c r="Z43" s="420" t="str">
        <f t="shared" ref="Z43:Z46" si="135">IF($X43="", "", IF($X43="국비",$N43, 0))</f>
        <v/>
      </c>
      <c r="AA43" s="420" t="str">
        <f t="shared" ref="AA43:AA46" si="136">IF($X43="", "", IF($X43="도비",$N43, 0))</f>
        <v/>
      </c>
      <c r="AC43" s="420" t="str">
        <f t="shared" ref="AC43:AC46" si="137">IF($X43="", "", IF($X43="국비",$P43, 0))</f>
        <v/>
      </c>
      <c r="AD43" s="420" t="str">
        <f t="shared" ref="AD43:AD46" si="138">IF($X43="", "", IF($X43="도비",$P43, 0))</f>
        <v/>
      </c>
      <c r="AF43" s="310" t="str">
        <f>IF(AI43="","",IF($X43="도비","-",CONCATENATE(AI43,"-",COUNTIF($AI$7:AI43,AI43))))</f>
        <v/>
      </c>
      <c r="AG43" s="310" t="str">
        <f t="shared" ref="AG43:AG46" si="139">IF($H43="","",IF($H43="511-01","국비",IF($H43="511-02","균특",IF($H43="511-03","기금",IF($H43="311-02","특교",IF($H43="311-04","소교",IF($H43="321-01","소멸","도비")))))))</f>
        <v/>
      </c>
      <c r="AI43" s="310" t="str">
        <f t="array" ref="AI43">IF(OR(D43="", B43="직접입력", C43="직접입력"),"",INDEX(구분표!$I$2:$I$336, MATCH(1,(구분표!$G$2:$G$336='4. 특입'!B43)*(구분표!$E$2:$E$336='4. 특입'!C43)*(구분표!$F$2:$F$336='4. 특입'!D43),0)))</f>
        <v/>
      </c>
      <c r="AJ43" s="175"/>
      <c r="AK43" s="398" t="str">
        <f>IF($AF43="","",IF($AF43="-",0, SUMIFS('4. 특출'!$AB$6:$AB$2000,'4. 특출'!$AJ$6:$AJ$2000,$AF43)))</f>
        <v/>
      </c>
      <c r="AL43" s="313" t="str">
        <f>IF($AF43="","",IF($AF43="-", 0, COUNTIF('4. 특출'!$AJ$6:$AJ$2000,$AF43)))</f>
        <v/>
      </c>
      <c r="AM43" s="310" t="str">
        <f t="shared" ref="AM43:AM46" si="140">IF($AF43="", "", IF($Z43=$AK43,"OK","@@"))</f>
        <v/>
      </c>
      <c r="AN43" s="175"/>
      <c r="AO43" s="398" t="str">
        <f>IF($AF43="","",IF($AF43="-",0, SUMIFS('4. 특출'!$AF$6:$AF$2000,'4. 특출'!$AJ$6:$AJ$2000,$AF43)))</f>
        <v/>
      </c>
      <c r="AP43" s="313" t="str">
        <f>IF($AF43="","",IF($AF43="-", 0, COUNTIF('4. 특출'!$AJ$6:$AJ$2000,$AF43)))</f>
        <v/>
      </c>
      <c r="AQ43" s="310" t="str">
        <f t="shared" ref="AQ43:AQ46" si="141">IF($AF43="", "", IF($AC43=$AO43,"OK","@@"))</f>
        <v/>
      </c>
    </row>
    <row r="44" spans="1:43" s="120" customFormat="1" ht="69.95" customHeight="1">
      <c r="A44" s="115" t="str">
        <f>IF(D44="","",COUNTA($C$7:C44)-COUNTBLANK($C$7:C44)+8)</f>
        <v/>
      </c>
      <c r="B44" s="116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16" t="str">
        <f>IF(D44="","",IF(OR(D44="교육지원과"),"소방재난본부",VLOOKUP(D44,구분표!$A$3:$C$258,3,)))</f>
        <v/>
      </c>
      <c r="D44" s="173"/>
      <c r="E44" s="161"/>
      <c r="F44" s="323" t="str">
        <f t="shared" ref="F44:G46" si="142">IF($E44="","",IF($E44="2추","직접입력","-"))</f>
        <v/>
      </c>
      <c r="G44" s="323" t="str">
        <f t="shared" si="142"/>
        <v/>
      </c>
      <c r="H44" s="162"/>
      <c r="I44" s="116" t="str">
        <f>IF(H44="","",VLOOKUP($H44,구분표!$O$3:$P$168,2,FALSE))</f>
        <v/>
      </c>
      <c r="J44" s="163"/>
      <c r="K44" s="385" t="str">
        <f t="shared" ref="K44:K46" si="143">IF($E44="","",IF(OR($E44="2추", $E44="1추", $E44="본예산"), "금액입력", "-"))</f>
        <v/>
      </c>
      <c r="L44" s="385" t="str">
        <f t="shared" ref="L44:L46" si="144">IF($E44="", "", IF($E44="2추","금액입력", "-"))</f>
        <v/>
      </c>
      <c r="M44" s="387" t="str">
        <f t="shared" si="130"/>
        <v/>
      </c>
      <c r="N44" s="386"/>
      <c r="O44" s="387">
        <f t="shared" si="131"/>
        <v>0</v>
      </c>
      <c r="P44" s="388"/>
      <c r="Q44" s="389">
        <f t="shared" si="132"/>
        <v>0</v>
      </c>
      <c r="R44" s="118" t="str">
        <f t="shared" si="133"/>
        <v>X</v>
      </c>
      <c r="S44" s="177"/>
      <c r="T44" s="176"/>
      <c r="U44" s="178"/>
      <c r="V44" s="179"/>
      <c r="W44" s="178"/>
      <c r="X44" s="118" t="str">
        <f t="shared" si="134"/>
        <v/>
      </c>
      <c r="Y44" s="174"/>
      <c r="Z44" s="420" t="str">
        <f t="shared" si="135"/>
        <v/>
      </c>
      <c r="AA44" s="420" t="str">
        <f t="shared" si="136"/>
        <v/>
      </c>
      <c r="AC44" s="420" t="str">
        <f t="shared" si="137"/>
        <v/>
      </c>
      <c r="AD44" s="420" t="str">
        <f t="shared" si="138"/>
        <v/>
      </c>
      <c r="AF44" s="310" t="str">
        <f>IF(AI44="","",IF($X44="도비","-",CONCATENATE(AI44,"-",COUNTIF($AI$7:AI44,AI44))))</f>
        <v/>
      </c>
      <c r="AG44" s="310" t="str">
        <f t="shared" si="139"/>
        <v/>
      </c>
      <c r="AI44" s="310" t="str">
        <f t="array" ref="AI44">IF(OR(D44="", B44="직접입력", C44="직접입력"),"",INDEX(구분표!$I$2:$I$336, MATCH(1,(구분표!$G$2:$G$336='4. 특입'!B44)*(구분표!$E$2:$E$336='4. 특입'!C44)*(구분표!$F$2:$F$336='4. 특입'!D44),0)))</f>
        <v/>
      </c>
      <c r="AJ44" s="175"/>
      <c r="AK44" s="398" t="str">
        <f>IF($AF44="","",IF($AF44="-",0, SUMIFS('4. 특출'!$AB$6:$AB$2000,'4. 특출'!$AJ$6:$AJ$2000,$AF44)))</f>
        <v/>
      </c>
      <c r="AL44" s="313" t="str">
        <f>IF($AF44="","",IF($AF44="-", 0, COUNTIF('4. 특출'!$AJ$6:$AJ$2000,$AF44)))</f>
        <v/>
      </c>
      <c r="AM44" s="310" t="str">
        <f t="shared" si="140"/>
        <v/>
      </c>
      <c r="AN44" s="175"/>
      <c r="AO44" s="398" t="str">
        <f>IF($AF44="","",IF($AF44="-",0, SUMIFS('4. 특출'!$AF$6:$AF$2000,'4. 특출'!$AJ$6:$AJ$2000,$AF44)))</f>
        <v/>
      </c>
      <c r="AP44" s="313" t="str">
        <f>IF($AF44="","",IF($AF44="-", 0, COUNTIF('4. 특출'!$AJ$6:$AJ$2000,$AF44)))</f>
        <v/>
      </c>
      <c r="AQ44" s="310" t="str">
        <f t="shared" si="141"/>
        <v/>
      </c>
    </row>
    <row r="45" spans="1:43" s="120" customFormat="1" ht="69.95" customHeight="1">
      <c r="A45" s="115" t="str">
        <f>IF(D45="","",COUNTA($C$7:C45)-COUNTBLANK($C$7:C45)+8)</f>
        <v/>
      </c>
      <c r="B45" s="116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16" t="str">
        <f>IF(D45="","",IF(OR(D45="교육지원과"),"소방재난본부",VLOOKUP(D45,구분표!$A$3:$C$258,3,)))</f>
        <v/>
      </c>
      <c r="D45" s="173"/>
      <c r="E45" s="161"/>
      <c r="F45" s="323" t="str">
        <f t="shared" si="142"/>
        <v/>
      </c>
      <c r="G45" s="323" t="str">
        <f t="shared" si="142"/>
        <v/>
      </c>
      <c r="H45" s="162"/>
      <c r="I45" s="116" t="str">
        <f>IF(H45="","",VLOOKUP($H45,구분표!$O$3:$P$168,2,FALSE))</f>
        <v/>
      </c>
      <c r="J45" s="163"/>
      <c r="K45" s="385" t="str">
        <f t="shared" si="143"/>
        <v/>
      </c>
      <c r="L45" s="385" t="str">
        <f t="shared" si="144"/>
        <v/>
      </c>
      <c r="M45" s="387" t="str">
        <f t="shared" si="130"/>
        <v/>
      </c>
      <c r="N45" s="386"/>
      <c r="O45" s="387">
        <f t="shared" si="131"/>
        <v>0</v>
      </c>
      <c r="P45" s="388"/>
      <c r="Q45" s="389">
        <f t="shared" si="132"/>
        <v>0</v>
      </c>
      <c r="R45" s="118" t="str">
        <f t="shared" si="133"/>
        <v>X</v>
      </c>
      <c r="S45" s="177"/>
      <c r="T45" s="176"/>
      <c r="U45" s="178"/>
      <c r="V45" s="179"/>
      <c r="W45" s="178"/>
      <c r="X45" s="118" t="str">
        <f t="shared" si="134"/>
        <v/>
      </c>
      <c r="Y45" s="174"/>
      <c r="Z45" s="420" t="str">
        <f t="shared" si="135"/>
        <v/>
      </c>
      <c r="AA45" s="420" t="str">
        <f t="shared" si="136"/>
        <v/>
      </c>
      <c r="AC45" s="420" t="str">
        <f t="shared" si="137"/>
        <v/>
      </c>
      <c r="AD45" s="420" t="str">
        <f t="shared" si="138"/>
        <v/>
      </c>
      <c r="AF45" s="310" t="str">
        <f>IF(AI45="","",IF($X45="도비","-",CONCATENATE(AI45,"-",COUNTIF($AI$7:AI45,AI45))))</f>
        <v/>
      </c>
      <c r="AG45" s="310" t="str">
        <f t="shared" si="139"/>
        <v/>
      </c>
      <c r="AI45" s="310" t="str">
        <f t="array" ref="AI45">IF(OR(D45="", B45="직접입력", C45="직접입력"),"",INDEX(구분표!$I$2:$I$336, MATCH(1,(구분표!$G$2:$G$336='4. 특입'!B45)*(구분표!$E$2:$E$336='4. 특입'!C45)*(구분표!$F$2:$F$336='4. 특입'!D45),0)))</f>
        <v/>
      </c>
      <c r="AJ45" s="175"/>
      <c r="AK45" s="398" t="str">
        <f>IF($AF45="","",IF($AF45="-",0, SUMIFS('4. 특출'!$AB$6:$AB$2000,'4. 특출'!$AJ$6:$AJ$2000,$AF45)))</f>
        <v/>
      </c>
      <c r="AL45" s="313" t="str">
        <f>IF($AF45="","",IF($AF45="-", 0, COUNTIF('4. 특출'!$AJ$6:$AJ$2000,$AF45)))</f>
        <v/>
      </c>
      <c r="AM45" s="310" t="str">
        <f t="shared" si="140"/>
        <v/>
      </c>
      <c r="AN45" s="175"/>
      <c r="AO45" s="398" t="str">
        <f>IF($AF45="","",IF($AF45="-",0, SUMIFS('4. 특출'!$AF$6:$AF$2000,'4. 특출'!$AJ$6:$AJ$2000,$AF45)))</f>
        <v/>
      </c>
      <c r="AP45" s="313" t="str">
        <f>IF($AF45="","",IF($AF45="-", 0, COUNTIF('4. 특출'!$AJ$6:$AJ$2000,$AF45)))</f>
        <v/>
      </c>
      <c r="AQ45" s="310" t="str">
        <f t="shared" si="141"/>
        <v/>
      </c>
    </row>
    <row r="46" spans="1:43" s="120" customFormat="1" ht="69.95" customHeight="1">
      <c r="A46" s="115" t="str">
        <f>IF(D46="","",COUNTA($C$7:C46)-COUNTBLANK($C$7:C46)+8)</f>
        <v/>
      </c>
      <c r="B46" s="116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16" t="str">
        <f>IF(D46="","",IF(OR(D46="교육지원과"),"소방재난본부",VLOOKUP(D46,구분표!$A$3:$C$258,3,)))</f>
        <v/>
      </c>
      <c r="D46" s="173"/>
      <c r="E46" s="161"/>
      <c r="F46" s="323" t="str">
        <f t="shared" si="142"/>
        <v/>
      </c>
      <c r="G46" s="323" t="str">
        <f t="shared" si="142"/>
        <v/>
      </c>
      <c r="H46" s="162"/>
      <c r="I46" s="116" t="str">
        <f>IF(H46="","",VLOOKUP($H46,구분표!$O$3:$P$168,2,FALSE))</f>
        <v/>
      </c>
      <c r="J46" s="163"/>
      <c r="K46" s="385" t="str">
        <f t="shared" si="143"/>
        <v/>
      </c>
      <c r="L46" s="385" t="str">
        <f t="shared" si="144"/>
        <v/>
      </c>
      <c r="M46" s="387" t="str">
        <f t="shared" si="130"/>
        <v/>
      </c>
      <c r="N46" s="386"/>
      <c r="O46" s="387">
        <f t="shared" si="131"/>
        <v>0</v>
      </c>
      <c r="P46" s="388"/>
      <c r="Q46" s="389">
        <f t="shared" si="132"/>
        <v>0</v>
      </c>
      <c r="R46" s="118" t="str">
        <f t="shared" si="133"/>
        <v>X</v>
      </c>
      <c r="S46" s="177"/>
      <c r="T46" s="176"/>
      <c r="U46" s="178"/>
      <c r="V46" s="179"/>
      <c r="W46" s="178"/>
      <c r="X46" s="118" t="str">
        <f t="shared" si="134"/>
        <v/>
      </c>
      <c r="Y46" s="174"/>
      <c r="Z46" s="420" t="str">
        <f t="shared" si="135"/>
        <v/>
      </c>
      <c r="AA46" s="420" t="str">
        <f t="shared" si="136"/>
        <v/>
      </c>
      <c r="AC46" s="420" t="str">
        <f t="shared" si="137"/>
        <v/>
      </c>
      <c r="AD46" s="420" t="str">
        <f t="shared" si="138"/>
        <v/>
      </c>
      <c r="AF46" s="310" t="str">
        <f>IF(AI46="","",IF($X46="도비","-",CONCATENATE(AI46,"-",COUNTIF($AI$7:AI46,AI46))))</f>
        <v/>
      </c>
      <c r="AG46" s="310" t="str">
        <f t="shared" si="139"/>
        <v/>
      </c>
      <c r="AI46" s="310" t="str">
        <f t="array" ref="AI46">IF(OR(D46="", B46="직접입력", C46="직접입력"),"",INDEX(구분표!$I$2:$I$336, MATCH(1,(구분표!$G$2:$G$336='4. 특입'!B46)*(구분표!$E$2:$E$336='4. 특입'!C46)*(구분표!$F$2:$F$336='4. 특입'!D46),0)))</f>
        <v/>
      </c>
      <c r="AJ46" s="175"/>
      <c r="AK46" s="398" t="str">
        <f>IF($AF46="","",IF($AF46="-",0, SUMIFS('4. 특출'!$AB$6:$AB$2000,'4. 특출'!$AJ$6:$AJ$2000,$AF46)))</f>
        <v/>
      </c>
      <c r="AL46" s="313" t="str">
        <f>IF($AF46="","",IF($AF46="-", 0, COUNTIF('4. 특출'!$AJ$6:$AJ$2000,$AF46)))</f>
        <v/>
      </c>
      <c r="AM46" s="310" t="str">
        <f t="shared" si="140"/>
        <v/>
      </c>
      <c r="AN46" s="175"/>
      <c r="AO46" s="398" t="str">
        <f>IF($AF46="","",IF($AF46="-",0, SUMIFS('4. 특출'!$AF$6:$AF$2000,'4. 특출'!$AJ$6:$AJ$2000,$AF46)))</f>
        <v/>
      </c>
      <c r="AP46" s="313" t="str">
        <f>IF($AF46="","",IF($AF46="-", 0, COUNTIF('4. 특출'!$AJ$6:$AJ$2000,$AF46)))</f>
        <v/>
      </c>
      <c r="AQ46" s="310" t="str">
        <f t="shared" si="141"/>
        <v/>
      </c>
    </row>
    <row r="47" spans="1:43" ht="69.95" customHeight="1">
      <c r="A47" s="122"/>
      <c r="B47" s="664" t="s">
        <v>771</v>
      </c>
      <c r="C47" s="664"/>
      <c r="D47" s="664"/>
      <c r="E47" s="664"/>
      <c r="F47" s="664"/>
      <c r="G47" s="664"/>
      <c r="H47" s="123"/>
      <c r="I47" s="123"/>
      <c r="J47" s="291" t="str">
        <f>SUBTOTAL(3,J48:J51)&amp;"건"</f>
        <v>0건</v>
      </c>
      <c r="K47" s="384">
        <f t="shared" ref="K47:Q47" si="145">SUBTOTAL(9,K48:K51)</f>
        <v>0</v>
      </c>
      <c r="L47" s="384">
        <f t="shared" si="145"/>
        <v>0</v>
      </c>
      <c r="M47" s="384">
        <f t="shared" si="145"/>
        <v>0</v>
      </c>
      <c r="N47" s="384">
        <f t="shared" si="145"/>
        <v>0</v>
      </c>
      <c r="O47" s="384">
        <f t="shared" si="145"/>
        <v>0</v>
      </c>
      <c r="P47" s="384">
        <f t="shared" si="145"/>
        <v>0</v>
      </c>
      <c r="Q47" s="384">
        <f t="shared" si="145"/>
        <v>0</v>
      </c>
      <c r="R47" s="122"/>
      <c r="S47" s="122"/>
      <c r="T47" s="122"/>
      <c r="U47" s="122"/>
      <c r="V47" s="122"/>
      <c r="W47" s="122"/>
      <c r="X47" s="124"/>
      <c r="Y47" s="42"/>
      <c r="Z47" s="384">
        <f>SUBTOTAL(9,Z48:Z51)</f>
        <v>0</v>
      </c>
      <c r="AA47" s="384">
        <f>SUBTOTAL(9,AA48:AA51)</f>
        <v>0</v>
      </c>
      <c r="AB47" s="43"/>
      <c r="AC47" s="384">
        <f>SUBTOTAL(9,AC48:AC51)</f>
        <v>0</v>
      </c>
      <c r="AD47" s="384">
        <f>SUBTOTAL(9,AD48:AD51)</f>
        <v>0</v>
      </c>
      <c r="AE47" s="43"/>
      <c r="AF47" s="122"/>
      <c r="AG47" s="124"/>
      <c r="AH47" s="43"/>
      <c r="AI47" s="124"/>
      <c r="AJ47" s="43"/>
      <c r="AK47" s="384">
        <f>SUBTOTAL(9,AK48:AK51)</f>
        <v>0</v>
      </c>
      <c r="AL47" s="384">
        <f>SUBTOTAL(9,AL48:AL51)</f>
        <v>0</v>
      </c>
      <c r="AM47" s="470" t="str">
        <f>IF(COUNTIF(AM48:AM51,"@@")&gt;0,"@@","OK")</f>
        <v>OK</v>
      </c>
      <c r="AN47" s="43"/>
      <c r="AO47" s="384">
        <f t="shared" ref="AO47" si="146">SUBTOTAL(9,AO48:AO51)</f>
        <v>0</v>
      </c>
      <c r="AP47" s="384">
        <f t="shared" ref="AP47" si="147">SUBTOTAL(9,AP48:AP51)</f>
        <v>0</v>
      </c>
      <c r="AQ47" s="470" t="str">
        <f>IF(COUNTIF(AQ48:AQ51,"@@")&gt;0,"@@","OK")</f>
        <v>OK</v>
      </c>
    </row>
    <row r="48" spans="1:43" s="120" customFormat="1" ht="69.95" customHeight="1">
      <c r="A48" s="115" t="str">
        <f>IF(D48="","",COUNTA($C$7:C48)-COUNTBLANK($C$7:C48)+9)</f>
        <v/>
      </c>
      <c r="B48" s="116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16" t="str">
        <f>IF(D48="","",IF(OR(D48="교육지원과"),"소방재난본부",VLOOKUP(D48,구분표!$A$3:$C$258,3,)))</f>
        <v/>
      </c>
      <c r="D48" s="173"/>
      <c r="E48" s="161"/>
      <c r="F48" s="323" t="str">
        <f>IF($E48="","",IF($E48="2추","직접입력","-"))</f>
        <v/>
      </c>
      <c r="G48" s="323" t="str">
        <f>IF($E48="","",IF($E48="2추","직접입력","-"))</f>
        <v/>
      </c>
      <c r="H48" s="162"/>
      <c r="I48" s="116" t="str">
        <f>IF(H48="","",VLOOKUP($H48,구분표!$O$3:$P$168,2,FALSE))</f>
        <v/>
      </c>
      <c r="J48" s="163"/>
      <c r="K48" s="385" t="str">
        <f>IF($E48="","",IF(OR($E48="2추", $E48="1추", $E48="본예산"), "금액입력", "-"))</f>
        <v/>
      </c>
      <c r="L48" s="385" t="str">
        <f>IF($E48="", "", IF($E48="2추","금액입력", "-"))</f>
        <v/>
      </c>
      <c r="M48" s="387" t="str">
        <f t="shared" ref="M48:M51" si="148">IF($E48="","",SUM(K48:L48))</f>
        <v/>
      </c>
      <c r="N48" s="386"/>
      <c r="O48" s="387">
        <f t="shared" ref="O48:O51" si="149">SUM(M48:N48)</f>
        <v>0</v>
      </c>
      <c r="P48" s="388"/>
      <c r="Q48" s="389">
        <f t="shared" ref="Q48:Q51" si="150">SUM(M48,P48)</f>
        <v>0</v>
      </c>
      <c r="R48" s="118" t="str">
        <f t="shared" ref="R48:R51" si="151">IF(AND((O48=0),(Q48&gt;0)),"O",IF(AND((N48&lt;0),(O48-Q48&lt;0)),"O","X"))</f>
        <v>X</v>
      </c>
      <c r="S48" s="177"/>
      <c r="T48" s="176"/>
      <c r="U48" s="178"/>
      <c r="V48" s="179"/>
      <c r="W48" s="178"/>
      <c r="X48" s="118" t="str">
        <f t="shared" ref="X48:X51" si="152">IF($H48="","",IF(OR($H48="511-01", $H48="511-02", $H48="511-03", $H48="311-02", $H48="311-04", $H48="321-01"),"국비","도비"))</f>
        <v/>
      </c>
      <c r="Y48" s="174"/>
      <c r="Z48" s="420" t="str">
        <f t="shared" ref="Z48:Z51" si="153">IF($X48="", "", IF($X48="국비",$N48, 0))</f>
        <v/>
      </c>
      <c r="AA48" s="420" t="str">
        <f t="shared" ref="AA48:AA51" si="154">IF($X48="", "", IF($X48="도비",$N48, 0))</f>
        <v/>
      </c>
      <c r="AC48" s="420" t="str">
        <f t="shared" ref="AC48:AC51" si="155">IF($X48="", "", IF($X48="국비",$P48, 0))</f>
        <v/>
      </c>
      <c r="AD48" s="420" t="str">
        <f t="shared" ref="AD48:AD51" si="156">IF($X48="", "", IF($X48="도비",$P48, 0))</f>
        <v/>
      </c>
      <c r="AF48" s="310" t="str">
        <f>IF(AI48="","",IF($X48="도비","-",CONCATENATE(AI48,"-",COUNTIF($AI$7:AI48,AI48))))</f>
        <v/>
      </c>
      <c r="AG48" s="310" t="str">
        <f t="shared" ref="AG48:AG51" si="157">IF($H48="","",IF($H48="511-01","국비",IF($H48="511-02","균특",IF($H48="511-03","기금",IF($H48="311-02","특교",IF($H48="311-04","소교",IF($H48="321-01","소멸","도비")))))))</f>
        <v/>
      </c>
      <c r="AI48" s="310" t="str">
        <f t="array" ref="AI48">IF(OR(D48="", B48="직접입력", C48="직접입력"),"",INDEX(구분표!$I$2:$I$336, MATCH(1,(구분표!$G$2:$G$336='4. 특입'!B48)*(구분표!$E$2:$E$336='4. 특입'!C48)*(구분표!$F$2:$F$336='4. 특입'!D48),0)))</f>
        <v/>
      </c>
      <c r="AJ48" s="175"/>
      <c r="AK48" s="398" t="str">
        <f>IF($AF48="","",IF($AF48="-",0, SUMIFS('4. 특출'!$AB$6:$AB$2000,'4. 특출'!$AJ$6:$AJ$2000,$AF48)))</f>
        <v/>
      </c>
      <c r="AL48" s="313" t="str">
        <f>IF($AF48="","",IF($AF48="-", 0, COUNTIF('4. 특출'!$AJ$6:$AJ$2000,$AF48)))</f>
        <v/>
      </c>
      <c r="AM48" s="310" t="str">
        <f t="shared" ref="AM48:AM51" si="158">IF($AF48="", "", IF($Z48=$AK48,"OK","@@"))</f>
        <v/>
      </c>
      <c r="AN48" s="175"/>
      <c r="AO48" s="398" t="str">
        <f>IF($AF48="","",IF($AF48="-",0, SUMIFS('4. 특출'!$AF$6:$AF$2000,'4. 특출'!$AJ$6:$AJ$2000,$AF48)))</f>
        <v/>
      </c>
      <c r="AP48" s="313" t="str">
        <f>IF($AF48="","",IF($AF48="-", 0, COUNTIF('4. 특출'!$AJ$6:$AJ$2000,$AF48)))</f>
        <v/>
      </c>
      <c r="AQ48" s="310" t="str">
        <f t="shared" ref="AQ48:AQ51" si="159">IF($AF48="", "", IF($AC48=$AO48,"OK","@@"))</f>
        <v/>
      </c>
    </row>
    <row r="49" spans="1:43" s="120" customFormat="1" ht="69.95" customHeight="1">
      <c r="A49" s="115" t="str">
        <f>IF(D49="","",COUNTA($C$7:C49)-COUNTBLANK($C$7:C49)+9)</f>
        <v/>
      </c>
      <c r="B49" s="116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16" t="str">
        <f>IF(D49="","",IF(OR(D49="교육지원과"),"소방재난본부",VLOOKUP(D49,구분표!$A$3:$C$258,3,)))</f>
        <v/>
      </c>
      <c r="D49" s="173"/>
      <c r="E49" s="161"/>
      <c r="F49" s="323" t="str">
        <f t="shared" ref="F49:G51" si="160">IF($E49="","",IF($E49="2추","직접입력","-"))</f>
        <v/>
      </c>
      <c r="G49" s="323" t="str">
        <f t="shared" si="160"/>
        <v/>
      </c>
      <c r="H49" s="162"/>
      <c r="I49" s="116" t="str">
        <f>IF(H49="","",VLOOKUP($H49,구분표!$O$3:$P$168,2,FALSE))</f>
        <v/>
      </c>
      <c r="J49" s="163"/>
      <c r="K49" s="385" t="str">
        <f t="shared" ref="K49:K51" si="161">IF($E49="","",IF(OR($E49="2추", $E49="1추", $E49="본예산"), "금액입력", "-"))</f>
        <v/>
      </c>
      <c r="L49" s="385" t="str">
        <f t="shared" ref="L49:L51" si="162">IF($E49="", "", IF($E49="2추","금액입력", "-"))</f>
        <v/>
      </c>
      <c r="M49" s="387" t="str">
        <f t="shared" si="148"/>
        <v/>
      </c>
      <c r="N49" s="386"/>
      <c r="O49" s="387">
        <f t="shared" si="149"/>
        <v>0</v>
      </c>
      <c r="P49" s="388"/>
      <c r="Q49" s="389">
        <f t="shared" si="150"/>
        <v>0</v>
      </c>
      <c r="R49" s="118" t="str">
        <f t="shared" si="151"/>
        <v>X</v>
      </c>
      <c r="S49" s="177"/>
      <c r="T49" s="176"/>
      <c r="U49" s="178"/>
      <c r="V49" s="179"/>
      <c r="W49" s="178"/>
      <c r="X49" s="118" t="str">
        <f t="shared" si="152"/>
        <v/>
      </c>
      <c r="Y49" s="174"/>
      <c r="Z49" s="420" t="str">
        <f t="shared" si="153"/>
        <v/>
      </c>
      <c r="AA49" s="420" t="str">
        <f t="shared" si="154"/>
        <v/>
      </c>
      <c r="AC49" s="420" t="str">
        <f t="shared" si="155"/>
        <v/>
      </c>
      <c r="AD49" s="420" t="str">
        <f t="shared" si="156"/>
        <v/>
      </c>
      <c r="AF49" s="310" t="str">
        <f>IF(AI49="","",IF($X49="도비","-",CONCATENATE(AI49,"-",COUNTIF($AI$7:AI49,AI49))))</f>
        <v/>
      </c>
      <c r="AG49" s="310" t="str">
        <f t="shared" si="157"/>
        <v/>
      </c>
      <c r="AI49" s="310" t="str">
        <f t="array" ref="AI49">IF(OR(D49="", B49="직접입력", C49="직접입력"),"",INDEX(구분표!$I$2:$I$336, MATCH(1,(구분표!$G$2:$G$336='4. 특입'!B49)*(구분표!$E$2:$E$336='4. 특입'!C49)*(구분표!$F$2:$F$336='4. 특입'!D49),0)))</f>
        <v/>
      </c>
      <c r="AJ49" s="175"/>
      <c r="AK49" s="398" t="str">
        <f>IF($AF49="","",IF($AF49="-",0, SUMIFS('4. 특출'!$AB$6:$AB$2000,'4. 특출'!$AJ$6:$AJ$2000,$AF49)))</f>
        <v/>
      </c>
      <c r="AL49" s="313" t="str">
        <f>IF($AF49="","",IF($AF49="-", 0, COUNTIF('4. 특출'!$AJ$6:$AJ$2000,$AF49)))</f>
        <v/>
      </c>
      <c r="AM49" s="310" t="str">
        <f t="shared" si="158"/>
        <v/>
      </c>
      <c r="AN49" s="175"/>
      <c r="AO49" s="398" t="str">
        <f>IF($AF49="","",IF($AF49="-",0, SUMIFS('4. 특출'!$AF$6:$AF$2000,'4. 특출'!$AJ$6:$AJ$2000,$AF49)))</f>
        <v/>
      </c>
      <c r="AP49" s="313" t="str">
        <f>IF($AF49="","",IF($AF49="-", 0, COUNTIF('4. 특출'!$AJ$6:$AJ$2000,$AF49)))</f>
        <v/>
      </c>
      <c r="AQ49" s="310" t="str">
        <f t="shared" si="159"/>
        <v/>
      </c>
    </row>
    <row r="50" spans="1:43" s="120" customFormat="1" ht="69.95" customHeight="1">
      <c r="A50" s="115" t="str">
        <f>IF(D50="","",COUNTA($C$7:C50)-COUNTBLANK($C$7:C50)+9)</f>
        <v/>
      </c>
      <c r="B50" s="116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16" t="str">
        <f>IF(D50="","",IF(OR(D50="교육지원과"),"소방재난본부",VLOOKUP(D50,구분표!$A$3:$C$258,3,)))</f>
        <v/>
      </c>
      <c r="D50" s="173"/>
      <c r="E50" s="161"/>
      <c r="F50" s="323" t="str">
        <f t="shared" si="160"/>
        <v/>
      </c>
      <c r="G50" s="323" t="str">
        <f t="shared" si="160"/>
        <v/>
      </c>
      <c r="H50" s="162"/>
      <c r="I50" s="116" t="str">
        <f>IF(H50="","",VLOOKUP($H50,구분표!$O$3:$P$168,2,FALSE))</f>
        <v/>
      </c>
      <c r="J50" s="163"/>
      <c r="K50" s="385" t="str">
        <f t="shared" si="161"/>
        <v/>
      </c>
      <c r="L50" s="385" t="str">
        <f t="shared" si="162"/>
        <v/>
      </c>
      <c r="M50" s="387" t="str">
        <f t="shared" si="148"/>
        <v/>
      </c>
      <c r="N50" s="386"/>
      <c r="O50" s="387">
        <f t="shared" si="149"/>
        <v>0</v>
      </c>
      <c r="P50" s="388"/>
      <c r="Q50" s="389">
        <f t="shared" si="150"/>
        <v>0</v>
      </c>
      <c r="R50" s="118" t="str">
        <f t="shared" si="151"/>
        <v>X</v>
      </c>
      <c r="S50" s="177"/>
      <c r="T50" s="176"/>
      <c r="U50" s="178"/>
      <c r="V50" s="179"/>
      <c r="W50" s="178"/>
      <c r="X50" s="118" t="str">
        <f t="shared" si="152"/>
        <v/>
      </c>
      <c r="Y50" s="174"/>
      <c r="Z50" s="420" t="str">
        <f t="shared" si="153"/>
        <v/>
      </c>
      <c r="AA50" s="420" t="str">
        <f t="shared" si="154"/>
        <v/>
      </c>
      <c r="AC50" s="420" t="str">
        <f t="shared" si="155"/>
        <v/>
      </c>
      <c r="AD50" s="420" t="str">
        <f t="shared" si="156"/>
        <v/>
      </c>
      <c r="AF50" s="310" t="str">
        <f>IF(AI50="","",IF($X50="도비","-",CONCATENATE(AI50,"-",COUNTIF($AI$7:AI50,AI50))))</f>
        <v/>
      </c>
      <c r="AG50" s="310" t="str">
        <f t="shared" si="157"/>
        <v/>
      </c>
      <c r="AI50" s="310" t="str">
        <f t="array" ref="AI50">IF(OR(D50="", B50="직접입력", C50="직접입력"),"",INDEX(구분표!$I$2:$I$336, MATCH(1,(구분표!$G$2:$G$336='4. 특입'!B50)*(구분표!$E$2:$E$336='4. 특입'!C50)*(구분표!$F$2:$F$336='4. 특입'!D50),0)))</f>
        <v/>
      </c>
      <c r="AJ50" s="175"/>
      <c r="AK50" s="398" t="str">
        <f>IF($AF50="","",IF($AF50="-",0, SUMIFS('4. 특출'!$AB$6:$AB$2000,'4. 특출'!$AJ$6:$AJ$2000,$AF50)))</f>
        <v/>
      </c>
      <c r="AL50" s="313" t="str">
        <f>IF($AF50="","",IF($AF50="-", 0, COUNTIF('4. 특출'!$AJ$6:$AJ$2000,$AF50)))</f>
        <v/>
      </c>
      <c r="AM50" s="310" t="str">
        <f t="shared" si="158"/>
        <v/>
      </c>
      <c r="AN50" s="175"/>
      <c r="AO50" s="398" t="str">
        <f>IF($AF50="","",IF($AF50="-",0, SUMIFS('4. 특출'!$AF$6:$AF$2000,'4. 특출'!$AJ$6:$AJ$2000,$AF50)))</f>
        <v/>
      </c>
      <c r="AP50" s="313" t="str">
        <f>IF($AF50="","",IF($AF50="-", 0, COUNTIF('4. 특출'!$AJ$6:$AJ$2000,$AF50)))</f>
        <v/>
      </c>
      <c r="AQ50" s="310" t="str">
        <f t="shared" si="159"/>
        <v/>
      </c>
    </row>
    <row r="51" spans="1:43" s="120" customFormat="1" ht="69.95" customHeight="1">
      <c r="A51" s="115" t="str">
        <f>IF(D51="","",COUNTA($C$7:C51)-COUNTBLANK($C$7:C51)+9)</f>
        <v/>
      </c>
      <c r="B51" s="116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16" t="str">
        <f>IF(D51="","",IF(OR(D51="교육지원과"),"소방재난본부",VLOOKUP(D51,구분표!$A$3:$C$258,3,)))</f>
        <v/>
      </c>
      <c r="D51" s="173"/>
      <c r="E51" s="161"/>
      <c r="F51" s="323" t="str">
        <f t="shared" si="160"/>
        <v/>
      </c>
      <c r="G51" s="323" t="str">
        <f t="shared" si="160"/>
        <v/>
      </c>
      <c r="H51" s="162"/>
      <c r="I51" s="116" t="str">
        <f>IF(H51="","",VLOOKUP($H51,구분표!$O$3:$P$168,2,FALSE))</f>
        <v/>
      </c>
      <c r="J51" s="163"/>
      <c r="K51" s="385" t="str">
        <f t="shared" si="161"/>
        <v/>
      </c>
      <c r="L51" s="385" t="str">
        <f t="shared" si="162"/>
        <v/>
      </c>
      <c r="M51" s="387" t="str">
        <f t="shared" si="148"/>
        <v/>
      </c>
      <c r="N51" s="386"/>
      <c r="O51" s="387">
        <f t="shared" si="149"/>
        <v>0</v>
      </c>
      <c r="P51" s="388"/>
      <c r="Q51" s="389">
        <f t="shared" si="150"/>
        <v>0</v>
      </c>
      <c r="R51" s="118" t="str">
        <f t="shared" si="151"/>
        <v>X</v>
      </c>
      <c r="S51" s="177"/>
      <c r="T51" s="176"/>
      <c r="U51" s="178"/>
      <c r="V51" s="179"/>
      <c r="W51" s="178"/>
      <c r="X51" s="118" t="str">
        <f t="shared" si="152"/>
        <v/>
      </c>
      <c r="Y51" s="174"/>
      <c r="Z51" s="420" t="str">
        <f t="shared" si="153"/>
        <v/>
      </c>
      <c r="AA51" s="420" t="str">
        <f t="shared" si="154"/>
        <v/>
      </c>
      <c r="AC51" s="420" t="str">
        <f t="shared" si="155"/>
        <v/>
      </c>
      <c r="AD51" s="420" t="str">
        <f t="shared" si="156"/>
        <v/>
      </c>
      <c r="AF51" s="310" t="str">
        <f>IF(AI51="","",IF($X51="도비","-",CONCATENATE(AI51,"-",COUNTIF($AI$7:AI51,AI51))))</f>
        <v/>
      </c>
      <c r="AG51" s="310" t="str">
        <f t="shared" si="157"/>
        <v/>
      </c>
      <c r="AI51" s="310" t="str">
        <f t="array" ref="AI51">IF(OR(D51="", B51="직접입력", C51="직접입력"),"",INDEX(구분표!$I$2:$I$336, MATCH(1,(구분표!$G$2:$G$336='4. 특입'!B51)*(구분표!$E$2:$E$336='4. 특입'!C51)*(구분표!$F$2:$F$336='4. 특입'!D51),0)))</f>
        <v/>
      </c>
      <c r="AJ51" s="175"/>
      <c r="AK51" s="398" t="str">
        <f>IF($AF51="","",IF($AF51="-",0, SUMIFS('4. 특출'!$AB$6:$AB$2000,'4. 특출'!$AJ$6:$AJ$2000,$AF51)))</f>
        <v/>
      </c>
      <c r="AL51" s="313" t="str">
        <f>IF($AF51="","",IF($AF51="-", 0, COUNTIF('4. 특출'!$AJ$6:$AJ$2000,$AF51)))</f>
        <v/>
      </c>
      <c r="AM51" s="310" t="str">
        <f t="shared" si="158"/>
        <v/>
      </c>
      <c r="AN51" s="175"/>
      <c r="AO51" s="398" t="str">
        <f>IF($AF51="","",IF($AF51="-",0, SUMIFS('4. 특출'!$AF$6:$AF$2000,'4. 특출'!$AJ$6:$AJ$2000,$AF51)))</f>
        <v/>
      </c>
      <c r="AP51" s="313" t="str">
        <f>IF($AF51="","",IF($AF51="-", 0, COUNTIF('4. 특출'!$AJ$6:$AJ$2000,$AF51)))</f>
        <v/>
      </c>
      <c r="AQ51" s="310" t="str">
        <f t="shared" si="159"/>
        <v/>
      </c>
    </row>
    <row r="52" spans="1:43" ht="36" customHeight="1">
      <c r="A52" s="67"/>
      <c r="B52" s="48"/>
      <c r="C52" s="48"/>
      <c r="D52" s="48"/>
      <c r="E52" s="48"/>
      <c r="H52" s="43"/>
      <c r="I52" s="43"/>
      <c r="J52" s="43"/>
      <c r="K52" s="43"/>
      <c r="L52" s="43"/>
      <c r="M52" s="415"/>
      <c r="N52" s="415"/>
      <c r="O52" s="415"/>
      <c r="P52" s="415"/>
      <c r="Q52" s="415"/>
      <c r="R52" s="43"/>
      <c r="S52" s="43"/>
      <c r="T52" s="43"/>
      <c r="U52" s="43"/>
      <c r="V52" s="43"/>
      <c r="W52" s="43"/>
      <c r="X52" s="48"/>
      <c r="Y52" s="43"/>
      <c r="Z52" s="415"/>
      <c r="AA52" s="415"/>
      <c r="AB52" s="43"/>
      <c r="AC52" s="415"/>
      <c r="AD52" s="415"/>
      <c r="AE52" s="43"/>
      <c r="AF52" s="43"/>
      <c r="AG52" s="43"/>
      <c r="AH52" s="43"/>
      <c r="AI52" s="43"/>
      <c r="AJ52" s="43"/>
      <c r="AK52" s="415"/>
      <c r="AL52" s="43"/>
      <c r="AM52" s="43"/>
      <c r="AN52" s="43"/>
      <c r="AO52" s="415"/>
      <c r="AP52" s="43"/>
      <c r="AQ52" s="43"/>
    </row>
    <row r="53" spans="1:43" ht="50.1" customHeight="1">
      <c r="A53" s="43"/>
      <c r="B53" s="48"/>
      <c r="C53" s="48"/>
      <c r="D53" s="48"/>
      <c r="E53" s="48"/>
      <c r="H53" s="43"/>
      <c r="I53" s="43"/>
      <c r="J53" s="43"/>
      <c r="K53" s="43"/>
      <c r="L53" s="43"/>
      <c r="M53" s="415"/>
      <c r="N53" s="415"/>
      <c r="O53" s="415"/>
      <c r="P53" s="415"/>
      <c r="Q53" s="415"/>
      <c r="R53" s="43"/>
      <c r="S53" s="43"/>
      <c r="T53" s="43"/>
      <c r="U53" s="43"/>
      <c r="V53" s="43"/>
      <c r="W53" s="43"/>
      <c r="X53" s="48"/>
      <c r="Y53" s="43"/>
      <c r="Z53" s="415"/>
      <c r="AA53" s="415"/>
      <c r="AB53" s="43"/>
      <c r="AC53" s="415"/>
      <c r="AD53" s="415"/>
      <c r="AE53" s="43"/>
      <c r="AF53" s="43"/>
      <c r="AG53" s="43"/>
      <c r="AH53" s="43"/>
      <c r="AI53" s="43"/>
      <c r="AJ53" s="43"/>
      <c r="AK53" s="415"/>
      <c r="AL53" s="43"/>
      <c r="AM53" s="43"/>
      <c r="AN53" s="43"/>
      <c r="AO53" s="415"/>
      <c r="AP53" s="43"/>
      <c r="AQ53" s="43"/>
    </row>
    <row r="54" spans="1:43" ht="50.1" customHeight="1">
      <c r="A54" s="43"/>
      <c r="B54" s="48"/>
      <c r="C54" s="48"/>
      <c r="D54" s="48"/>
      <c r="E54" s="48"/>
      <c r="H54" s="43"/>
      <c r="I54" s="43"/>
      <c r="J54" s="43"/>
      <c r="K54" s="43"/>
      <c r="L54" s="43"/>
      <c r="M54" s="415"/>
      <c r="N54" s="415"/>
      <c r="O54" s="415"/>
      <c r="P54" s="415"/>
      <c r="Q54" s="415"/>
      <c r="R54" s="43"/>
      <c r="S54" s="43"/>
      <c r="T54" s="43"/>
      <c r="U54" s="43"/>
      <c r="V54" s="43"/>
      <c r="W54" s="43"/>
      <c r="X54" s="48"/>
      <c r="Y54" s="43"/>
      <c r="Z54" s="415"/>
      <c r="AA54" s="415"/>
      <c r="AB54" s="43"/>
      <c r="AC54" s="415"/>
      <c r="AD54" s="415"/>
      <c r="AE54" s="43"/>
      <c r="AF54" s="43"/>
      <c r="AG54" s="43"/>
      <c r="AH54" s="43"/>
      <c r="AI54" s="43"/>
      <c r="AJ54" s="43"/>
      <c r="AK54" s="415"/>
      <c r="AL54" s="43"/>
      <c r="AM54" s="43"/>
      <c r="AN54" s="43"/>
      <c r="AO54" s="415"/>
      <c r="AP54" s="43"/>
      <c r="AQ54" s="43"/>
    </row>
    <row r="55" spans="1:43" ht="50.1" customHeight="1">
      <c r="A55" s="43"/>
      <c r="B55" s="48"/>
      <c r="C55" s="48"/>
      <c r="D55" s="48"/>
      <c r="E55" s="48"/>
      <c r="H55" s="43"/>
      <c r="I55" s="43"/>
      <c r="J55" s="43"/>
      <c r="K55" s="43"/>
      <c r="L55" s="43"/>
      <c r="M55" s="415"/>
      <c r="N55" s="415"/>
      <c r="O55" s="415"/>
      <c r="P55" s="415"/>
      <c r="Q55" s="415"/>
      <c r="R55" s="43"/>
      <c r="S55" s="43"/>
      <c r="T55" s="43"/>
      <c r="U55" s="43"/>
      <c r="V55" s="43"/>
      <c r="W55" s="43"/>
      <c r="X55" s="48"/>
      <c r="Y55" s="43"/>
      <c r="Z55" s="415"/>
      <c r="AA55" s="415"/>
      <c r="AB55" s="43"/>
      <c r="AC55" s="415"/>
      <c r="AD55" s="415"/>
      <c r="AE55" s="43"/>
      <c r="AF55" s="43"/>
      <c r="AG55" s="43"/>
      <c r="AH55" s="43"/>
      <c r="AI55" s="43"/>
      <c r="AJ55" s="43"/>
      <c r="AK55" s="415"/>
      <c r="AL55" s="43"/>
      <c r="AM55" s="43"/>
      <c r="AN55" s="43"/>
      <c r="AO55" s="415"/>
      <c r="AP55" s="43"/>
      <c r="AQ55" s="43"/>
    </row>
    <row r="56" spans="1:43" ht="50.1" customHeight="1">
      <c r="A56" s="43"/>
      <c r="B56" s="48"/>
      <c r="C56" s="48"/>
      <c r="D56" s="48"/>
      <c r="E56" s="48"/>
      <c r="H56" s="43"/>
      <c r="I56" s="43"/>
      <c r="J56" s="43"/>
      <c r="K56" s="43"/>
      <c r="L56" s="43"/>
      <c r="M56" s="415"/>
      <c r="N56" s="415"/>
      <c r="O56" s="415"/>
      <c r="P56" s="415"/>
      <c r="Q56" s="415"/>
      <c r="R56" s="43"/>
      <c r="S56" s="43"/>
      <c r="T56" s="43"/>
      <c r="U56" s="43"/>
      <c r="V56" s="43"/>
      <c r="W56" s="43"/>
      <c r="X56" s="48"/>
      <c r="Y56" s="43"/>
      <c r="Z56" s="415"/>
      <c r="AA56" s="415"/>
      <c r="AB56" s="43"/>
      <c r="AC56" s="415"/>
      <c r="AD56" s="415"/>
      <c r="AE56" s="43"/>
      <c r="AF56" s="43"/>
      <c r="AG56" s="43"/>
      <c r="AH56" s="43"/>
      <c r="AI56" s="43"/>
      <c r="AJ56" s="43"/>
      <c r="AK56" s="415"/>
      <c r="AL56" s="43"/>
      <c r="AM56" s="43"/>
      <c r="AN56" s="43"/>
      <c r="AO56" s="415"/>
      <c r="AP56" s="43"/>
      <c r="AQ56" s="43"/>
    </row>
    <row r="57" spans="1:43" ht="50.1" customHeight="1">
      <c r="A57" s="43"/>
      <c r="B57" s="48"/>
      <c r="C57" s="48"/>
      <c r="D57" s="48"/>
      <c r="E57" s="48"/>
      <c r="H57" s="43"/>
      <c r="I57" s="43"/>
      <c r="J57" s="43"/>
      <c r="K57" s="43"/>
      <c r="L57" s="43"/>
      <c r="M57" s="415"/>
      <c r="N57" s="415"/>
      <c r="O57" s="415"/>
      <c r="P57" s="415"/>
      <c r="Q57" s="415"/>
      <c r="R57" s="43"/>
      <c r="S57" s="43"/>
      <c r="T57" s="43"/>
      <c r="U57" s="43"/>
      <c r="V57" s="43"/>
      <c r="W57" s="43"/>
      <c r="X57" s="48"/>
      <c r="Y57" s="43"/>
      <c r="Z57" s="415"/>
      <c r="AA57" s="415"/>
      <c r="AB57" s="43"/>
      <c r="AC57" s="415"/>
      <c r="AD57" s="415"/>
      <c r="AE57" s="43"/>
      <c r="AF57" s="43"/>
      <c r="AG57" s="43"/>
      <c r="AH57" s="43"/>
      <c r="AI57" s="43"/>
      <c r="AJ57" s="43"/>
      <c r="AK57" s="415"/>
      <c r="AL57" s="43"/>
      <c r="AM57" s="43"/>
      <c r="AN57" s="43"/>
      <c r="AO57" s="415"/>
      <c r="AP57" s="43"/>
      <c r="AQ57" s="43"/>
    </row>
    <row r="58" spans="1:43" ht="50.1" customHeight="1">
      <c r="A58" s="43"/>
      <c r="B58" s="48"/>
      <c r="C58" s="48"/>
      <c r="D58" s="48"/>
      <c r="E58" s="48"/>
      <c r="H58" s="43"/>
      <c r="I58" s="43"/>
      <c r="J58" s="43"/>
      <c r="K58" s="43"/>
      <c r="L58" s="43"/>
      <c r="M58" s="415"/>
      <c r="N58" s="415"/>
      <c r="O58" s="415"/>
      <c r="P58" s="415"/>
      <c r="Q58" s="415"/>
      <c r="R58" s="43"/>
      <c r="S58" s="43"/>
      <c r="T58" s="43"/>
      <c r="U58" s="43"/>
      <c r="V58" s="43"/>
      <c r="W58" s="43"/>
      <c r="X58" s="48"/>
      <c r="Y58" s="43"/>
      <c r="Z58" s="415"/>
      <c r="AA58" s="415"/>
      <c r="AB58" s="43"/>
      <c r="AC58" s="415"/>
      <c r="AD58" s="415"/>
      <c r="AE58" s="43"/>
      <c r="AF58" s="43"/>
      <c r="AG58" s="43"/>
      <c r="AH58" s="43"/>
      <c r="AI58" s="43"/>
      <c r="AJ58" s="43"/>
      <c r="AK58" s="415"/>
      <c r="AL58" s="43"/>
      <c r="AM58" s="43"/>
      <c r="AN58" s="43"/>
      <c r="AO58" s="415"/>
      <c r="AP58" s="43"/>
      <c r="AQ58" s="43"/>
    </row>
    <row r="59" spans="1:43" ht="50.1" customHeight="1">
      <c r="A59" s="43"/>
      <c r="B59" s="48"/>
      <c r="C59" s="48"/>
      <c r="D59" s="48"/>
      <c r="E59" s="48"/>
      <c r="H59" s="43"/>
      <c r="I59" s="43"/>
      <c r="J59" s="43"/>
      <c r="K59" s="43"/>
      <c r="L59" s="43"/>
      <c r="M59" s="415"/>
      <c r="N59" s="415"/>
      <c r="O59" s="415"/>
      <c r="P59" s="415"/>
      <c r="Q59" s="415"/>
      <c r="R59" s="43"/>
      <c r="S59" s="43"/>
      <c r="T59" s="43"/>
      <c r="U59" s="43"/>
      <c r="V59" s="43"/>
      <c r="W59" s="43"/>
      <c r="X59" s="48"/>
      <c r="Y59" s="43"/>
      <c r="Z59" s="415"/>
      <c r="AA59" s="415"/>
      <c r="AB59" s="43"/>
      <c r="AC59" s="415"/>
      <c r="AD59" s="415"/>
      <c r="AE59" s="43"/>
      <c r="AF59" s="43"/>
      <c r="AG59" s="43"/>
      <c r="AH59" s="43"/>
      <c r="AI59" s="43"/>
      <c r="AJ59" s="43"/>
      <c r="AK59" s="415"/>
      <c r="AL59" s="43"/>
      <c r="AM59" s="43"/>
      <c r="AN59" s="43"/>
      <c r="AO59" s="415"/>
      <c r="AP59" s="43"/>
      <c r="AQ59" s="43"/>
    </row>
    <row r="60" spans="1:43" ht="50.1" customHeight="1">
      <c r="A60" s="43"/>
      <c r="B60" s="48"/>
      <c r="C60" s="48"/>
      <c r="D60" s="48"/>
      <c r="E60" s="48"/>
      <c r="H60" s="43"/>
      <c r="I60" s="43"/>
      <c r="J60" s="43"/>
      <c r="K60" s="43"/>
      <c r="L60" s="43"/>
      <c r="M60" s="415"/>
      <c r="N60" s="415"/>
      <c r="O60" s="415"/>
      <c r="P60" s="415"/>
      <c r="Q60" s="415"/>
      <c r="R60" s="43"/>
      <c r="S60" s="43"/>
      <c r="T60" s="43"/>
      <c r="U60" s="43"/>
      <c r="V60" s="43"/>
      <c r="W60" s="43"/>
      <c r="X60" s="48"/>
      <c r="Y60" s="43"/>
      <c r="Z60" s="415"/>
      <c r="AA60" s="415"/>
      <c r="AB60" s="43"/>
      <c r="AC60" s="415"/>
      <c r="AD60" s="415"/>
      <c r="AE60" s="43"/>
      <c r="AF60" s="43"/>
      <c r="AG60" s="43"/>
      <c r="AH60" s="43"/>
      <c r="AI60" s="43"/>
      <c r="AJ60" s="43"/>
      <c r="AK60" s="415"/>
      <c r="AL60" s="43"/>
      <c r="AM60" s="43"/>
      <c r="AN60" s="43"/>
      <c r="AO60" s="415"/>
      <c r="AP60" s="43"/>
      <c r="AQ60" s="43"/>
    </row>
    <row r="61" spans="1:43" ht="50.1" customHeight="1">
      <c r="A61" s="43"/>
      <c r="B61" s="48"/>
      <c r="C61" s="48"/>
      <c r="D61" s="48"/>
      <c r="E61" s="48"/>
      <c r="H61" s="43"/>
      <c r="I61" s="43"/>
      <c r="J61" s="43"/>
      <c r="K61" s="43"/>
      <c r="L61" s="43"/>
      <c r="M61" s="415"/>
      <c r="N61" s="415"/>
      <c r="O61" s="415"/>
      <c r="P61" s="415"/>
      <c r="Q61" s="415"/>
      <c r="R61" s="43"/>
      <c r="S61" s="43"/>
      <c r="T61" s="43"/>
      <c r="U61" s="43"/>
      <c r="V61" s="43"/>
      <c r="W61" s="43"/>
      <c r="X61" s="48"/>
      <c r="Y61" s="43"/>
      <c r="Z61" s="415"/>
      <c r="AA61" s="415"/>
      <c r="AB61" s="43"/>
      <c r="AC61" s="415"/>
      <c r="AD61" s="415"/>
      <c r="AE61" s="43"/>
      <c r="AF61" s="43"/>
      <c r="AG61" s="43"/>
      <c r="AH61" s="43"/>
      <c r="AI61" s="43"/>
      <c r="AJ61" s="43"/>
      <c r="AK61" s="415"/>
      <c r="AL61" s="43"/>
      <c r="AM61" s="43"/>
      <c r="AN61" s="43"/>
      <c r="AO61" s="415"/>
      <c r="AP61" s="43"/>
      <c r="AQ61" s="43"/>
    </row>
    <row r="62" spans="1:43" ht="50.1" customHeight="1">
      <c r="A62" s="43"/>
      <c r="B62" s="48"/>
      <c r="C62" s="48"/>
      <c r="D62" s="48"/>
      <c r="E62" s="48"/>
      <c r="H62" s="43"/>
      <c r="I62" s="43"/>
      <c r="J62" s="43"/>
      <c r="K62" s="43"/>
      <c r="L62" s="43"/>
      <c r="M62" s="415"/>
      <c r="N62" s="415"/>
      <c r="O62" s="415"/>
      <c r="P62" s="415"/>
      <c r="Q62" s="415"/>
      <c r="R62" s="43"/>
      <c r="S62" s="43"/>
      <c r="T62" s="43"/>
      <c r="U62" s="43"/>
      <c r="V62" s="43"/>
      <c r="W62" s="43"/>
      <c r="X62" s="48"/>
      <c r="Y62" s="43"/>
      <c r="Z62" s="415"/>
      <c r="AA62" s="415"/>
      <c r="AB62" s="43"/>
      <c r="AC62" s="415"/>
      <c r="AD62" s="415"/>
      <c r="AE62" s="43"/>
      <c r="AF62" s="43"/>
      <c r="AG62" s="43"/>
      <c r="AH62" s="43"/>
      <c r="AI62" s="43"/>
      <c r="AJ62" s="43"/>
      <c r="AK62" s="415"/>
      <c r="AL62" s="43"/>
      <c r="AM62" s="43"/>
      <c r="AN62" s="43"/>
      <c r="AO62" s="415"/>
      <c r="AP62" s="43"/>
      <c r="AQ62" s="43"/>
    </row>
    <row r="63" spans="1:43" ht="50.1" customHeight="1">
      <c r="A63" s="43"/>
      <c r="B63" s="48"/>
      <c r="C63" s="48"/>
      <c r="D63" s="48"/>
      <c r="E63" s="48"/>
      <c r="H63" s="43"/>
      <c r="I63" s="43"/>
      <c r="J63" s="43"/>
      <c r="K63" s="43"/>
      <c r="L63" s="43"/>
      <c r="M63" s="415"/>
      <c r="N63" s="415"/>
      <c r="O63" s="415"/>
      <c r="P63" s="415"/>
      <c r="Q63" s="415"/>
      <c r="R63" s="43"/>
      <c r="S63" s="43"/>
      <c r="T63" s="43"/>
      <c r="U63" s="43"/>
      <c r="V63" s="43"/>
      <c r="W63" s="43"/>
      <c r="X63" s="48"/>
      <c r="Y63" s="43"/>
      <c r="Z63" s="415"/>
      <c r="AA63" s="415"/>
      <c r="AB63" s="43"/>
      <c r="AC63" s="415"/>
      <c r="AD63" s="415"/>
      <c r="AE63" s="43"/>
      <c r="AF63" s="43"/>
      <c r="AG63" s="43"/>
      <c r="AH63" s="43"/>
      <c r="AI63" s="43"/>
      <c r="AJ63" s="43"/>
      <c r="AK63" s="415"/>
      <c r="AL63" s="43"/>
      <c r="AM63" s="43"/>
      <c r="AN63" s="43"/>
      <c r="AO63" s="415"/>
      <c r="AP63" s="43"/>
      <c r="AQ63" s="43"/>
    </row>
    <row r="64" spans="1:43" ht="50.1" customHeight="1">
      <c r="A64" s="43"/>
      <c r="B64" s="48"/>
      <c r="C64" s="48"/>
      <c r="D64" s="48"/>
      <c r="E64" s="48"/>
      <c r="H64" s="43"/>
      <c r="I64" s="43"/>
      <c r="J64" s="43"/>
      <c r="K64" s="43"/>
      <c r="L64" s="43"/>
      <c r="M64" s="415"/>
      <c r="N64" s="415"/>
      <c r="O64" s="415"/>
      <c r="P64" s="415"/>
      <c r="Q64" s="415"/>
      <c r="R64" s="43"/>
      <c r="S64" s="43"/>
      <c r="T64" s="43"/>
      <c r="U64" s="43"/>
      <c r="V64" s="43"/>
      <c r="W64" s="43"/>
      <c r="X64" s="48"/>
      <c r="Y64" s="43"/>
      <c r="Z64" s="415"/>
      <c r="AA64" s="415"/>
      <c r="AB64" s="43"/>
      <c r="AC64" s="415"/>
      <c r="AD64" s="415"/>
      <c r="AE64" s="43"/>
      <c r="AF64" s="43"/>
      <c r="AG64" s="43"/>
      <c r="AH64" s="43"/>
      <c r="AI64" s="43"/>
      <c r="AJ64" s="43"/>
      <c r="AK64" s="415"/>
      <c r="AL64" s="43"/>
      <c r="AM64" s="43"/>
      <c r="AN64" s="43"/>
      <c r="AO64" s="415"/>
      <c r="AP64" s="43"/>
      <c r="AQ64" s="43"/>
    </row>
    <row r="65" spans="1:43" ht="50.1" customHeight="1">
      <c r="A65" s="43"/>
      <c r="B65" s="48"/>
      <c r="C65" s="48"/>
      <c r="D65" s="48"/>
      <c r="E65" s="48"/>
      <c r="H65" s="43"/>
      <c r="I65" s="43"/>
      <c r="J65" s="43"/>
      <c r="K65" s="43"/>
      <c r="L65" s="43"/>
      <c r="M65" s="415"/>
      <c r="N65" s="415"/>
      <c r="O65" s="415"/>
      <c r="P65" s="415"/>
      <c r="Q65" s="415"/>
      <c r="R65" s="43"/>
      <c r="S65" s="43"/>
      <c r="T65" s="43"/>
      <c r="U65" s="43"/>
      <c r="V65" s="43"/>
      <c r="W65" s="43"/>
      <c r="X65" s="48"/>
      <c r="Y65" s="43"/>
      <c r="Z65" s="415"/>
      <c r="AA65" s="415"/>
      <c r="AB65" s="43"/>
      <c r="AC65" s="415"/>
      <c r="AD65" s="415"/>
      <c r="AE65" s="43"/>
      <c r="AF65" s="43"/>
      <c r="AG65" s="43"/>
      <c r="AH65" s="43"/>
      <c r="AI65" s="43"/>
      <c r="AJ65" s="43"/>
      <c r="AK65" s="415"/>
      <c r="AL65" s="43"/>
      <c r="AM65" s="43"/>
      <c r="AN65" s="43"/>
      <c r="AO65" s="415"/>
      <c r="AP65" s="43"/>
      <c r="AQ65" s="43"/>
    </row>
    <row r="66" spans="1:43" ht="50.1" customHeight="1">
      <c r="A66" s="43"/>
      <c r="B66" s="48"/>
      <c r="C66" s="48"/>
      <c r="D66" s="48"/>
      <c r="E66" s="48"/>
      <c r="H66" s="43"/>
      <c r="I66" s="43"/>
      <c r="J66" s="43"/>
      <c r="K66" s="43"/>
      <c r="L66" s="43"/>
      <c r="M66" s="415"/>
      <c r="N66" s="415"/>
      <c r="O66" s="415"/>
      <c r="P66" s="415"/>
      <c r="Q66" s="415"/>
      <c r="R66" s="43"/>
      <c r="S66" s="43"/>
      <c r="T66" s="43"/>
      <c r="U66" s="43"/>
      <c r="V66" s="43"/>
      <c r="W66" s="43"/>
      <c r="X66" s="48"/>
      <c r="Y66" s="43"/>
      <c r="Z66" s="415"/>
      <c r="AA66" s="415"/>
      <c r="AB66" s="43"/>
      <c r="AC66" s="415"/>
      <c r="AD66" s="415"/>
      <c r="AE66" s="43"/>
      <c r="AF66" s="43"/>
      <c r="AG66" s="43"/>
      <c r="AH66" s="43"/>
      <c r="AI66" s="43"/>
      <c r="AJ66" s="43"/>
      <c r="AK66" s="415"/>
      <c r="AL66" s="43"/>
      <c r="AM66" s="43"/>
      <c r="AN66" s="43"/>
      <c r="AO66" s="415"/>
      <c r="AP66" s="43"/>
      <c r="AQ66" s="43"/>
    </row>
    <row r="67" spans="1:43" ht="50.1" customHeight="1">
      <c r="A67" s="43"/>
      <c r="B67" s="48"/>
      <c r="C67" s="48"/>
      <c r="D67" s="48"/>
      <c r="E67" s="48"/>
      <c r="H67" s="43"/>
      <c r="I67" s="43"/>
      <c r="J67" s="43"/>
      <c r="K67" s="43"/>
      <c r="L67" s="43"/>
      <c r="M67" s="415"/>
      <c r="N67" s="415"/>
      <c r="O67" s="415"/>
      <c r="P67" s="415"/>
      <c r="Q67" s="415"/>
      <c r="R67" s="43"/>
      <c r="S67" s="43"/>
      <c r="T67" s="43"/>
      <c r="U67" s="43"/>
      <c r="V67" s="43"/>
      <c r="W67" s="43"/>
      <c r="X67" s="48"/>
      <c r="Y67" s="43"/>
      <c r="Z67" s="415"/>
      <c r="AA67" s="415"/>
      <c r="AB67" s="43"/>
      <c r="AC67" s="415"/>
      <c r="AD67" s="415"/>
      <c r="AE67" s="43"/>
      <c r="AF67" s="43"/>
      <c r="AG67" s="43"/>
      <c r="AH67" s="43"/>
      <c r="AI67" s="43"/>
      <c r="AJ67" s="43"/>
      <c r="AK67" s="415"/>
      <c r="AL67" s="43"/>
      <c r="AM67" s="43"/>
      <c r="AN67" s="43"/>
      <c r="AO67" s="415"/>
      <c r="AP67" s="43"/>
      <c r="AQ67" s="43"/>
    </row>
    <row r="68" spans="1:43" ht="50.1" customHeight="1">
      <c r="A68" s="43"/>
      <c r="B68" s="48"/>
      <c r="C68" s="48"/>
      <c r="D68" s="48"/>
      <c r="E68" s="48"/>
      <c r="H68" s="43"/>
      <c r="I68" s="43"/>
      <c r="J68" s="43"/>
      <c r="K68" s="43"/>
      <c r="L68" s="43"/>
      <c r="M68" s="415"/>
      <c r="N68" s="415"/>
      <c r="O68" s="415"/>
      <c r="P68" s="415"/>
      <c r="Q68" s="415"/>
      <c r="R68" s="43"/>
      <c r="S68" s="43"/>
      <c r="T68" s="43"/>
      <c r="U68" s="43"/>
      <c r="V68" s="43"/>
      <c r="W68" s="43"/>
      <c r="X68" s="48"/>
      <c r="Y68" s="43"/>
      <c r="Z68" s="415"/>
      <c r="AA68" s="415"/>
      <c r="AB68" s="43"/>
      <c r="AC68" s="415"/>
      <c r="AD68" s="415"/>
      <c r="AE68" s="43"/>
      <c r="AF68" s="43"/>
      <c r="AG68" s="43"/>
      <c r="AH68" s="43"/>
      <c r="AI68" s="43"/>
      <c r="AJ68" s="43"/>
      <c r="AK68" s="415"/>
      <c r="AL68" s="43"/>
      <c r="AM68" s="43"/>
      <c r="AN68" s="43"/>
      <c r="AO68" s="415"/>
      <c r="AP68" s="43"/>
      <c r="AQ68" s="43"/>
    </row>
  </sheetData>
  <sheetProtection formatCells="0" autoFilter="0"/>
  <autoFilter ref="A6:AQ51" xr:uid="{6F63810D-7498-4EAA-A7F2-43E373D8C0F8}"/>
  <mergeCells count="43">
    <mergeCell ref="Z1:AA1"/>
    <mergeCell ref="AC1:AD1"/>
    <mergeCell ref="A1:X1"/>
    <mergeCell ref="J4:J5"/>
    <mergeCell ref="M4:M5"/>
    <mergeCell ref="H4:H5"/>
    <mergeCell ref="I4:I5"/>
    <mergeCell ref="A4:A5"/>
    <mergeCell ref="B4:B5"/>
    <mergeCell ref="C4:C5"/>
    <mergeCell ref="D4:D5"/>
    <mergeCell ref="E4:E5"/>
    <mergeCell ref="N4:N5"/>
    <mergeCell ref="O4:O5"/>
    <mergeCell ref="Q4:Q5"/>
    <mergeCell ref="R4:R5"/>
    <mergeCell ref="B47:G47"/>
    <mergeCell ref="AO4:AQ4"/>
    <mergeCell ref="B7:G7"/>
    <mergeCell ref="Z4:AA4"/>
    <mergeCell ref="AC4:AD4"/>
    <mergeCell ref="AF4:AF5"/>
    <mergeCell ref="AI4:AI5"/>
    <mergeCell ref="T4:T5"/>
    <mergeCell ref="U4:U5"/>
    <mergeCell ref="W4:W5"/>
    <mergeCell ref="X4:X5"/>
    <mergeCell ref="F4:F5"/>
    <mergeCell ref="G4:G5"/>
    <mergeCell ref="AK4:AM4"/>
    <mergeCell ref="AG4:AG5"/>
    <mergeCell ref="S4:S5"/>
    <mergeCell ref="P4:P5"/>
    <mergeCell ref="V4:V5"/>
    <mergeCell ref="B42:G42"/>
    <mergeCell ref="B37:G37"/>
    <mergeCell ref="B32:G32"/>
    <mergeCell ref="B27:G27"/>
    <mergeCell ref="B12:G12"/>
    <mergeCell ref="B17:G17"/>
    <mergeCell ref="B22:G22"/>
    <mergeCell ref="K4:K5"/>
    <mergeCell ref="L4:L5"/>
  </mergeCells>
  <phoneticPr fontId="1" type="noConversion"/>
  <conditionalFormatting sqref="F1:G7 F12:G12 F17:G17 F22:G22 F27:G27 F32:G32 F37:G37 F42:G42 F47:G47 F52:G1048576">
    <cfRule type="containsText" dxfId="194" priority="325" operator="containsText" text="직접입력">
      <formula>NOT(ISERROR(SEARCH("직접입력",F1)))</formula>
    </cfRule>
  </conditionalFormatting>
  <conditionalFormatting sqref="M1:M6 M52:M1048576">
    <cfRule type="containsText" dxfId="193" priority="324" operator="containsText" text="금액입력">
      <formula>NOT(ISERROR(SEARCH("금액입력",M1)))</formula>
    </cfRule>
  </conditionalFormatting>
  <conditionalFormatting sqref="J1:L3 J52:L1048576 J4:J51">
    <cfRule type="containsText" dxfId="192" priority="323" operator="containsText" text="부기명 입력">
      <formula>NOT(ISERROR(SEARCH("부기명 입력",J1)))</formula>
    </cfRule>
  </conditionalFormatting>
  <conditionalFormatting sqref="K4:L5">
    <cfRule type="containsText" dxfId="191" priority="322" operator="containsText" text="금액입력">
      <formula>NOT(ISERROR(SEARCH("금액입력",K4)))</formula>
    </cfRule>
  </conditionalFormatting>
  <conditionalFormatting sqref="K7:Q7">
    <cfRule type="containsText" dxfId="190" priority="249" operator="containsText" text="금액입력">
      <formula>NOT(ISERROR(SEARCH("금액입력",K7)))</formula>
    </cfRule>
  </conditionalFormatting>
  <conditionalFormatting sqref="M8:M11 M13:M16 M18:M21 M23:M26 M28:M31 M33:M36 M38:M41 M43:M46 M48:M51">
    <cfRule type="containsText" dxfId="189" priority="244" operator="containsText" text="금액입력">
      <formula>NOT(ISERROR(SEARCH("금액입력",M8)))</formula>
    </cfRule>
  </conditionalFormatting>
  <conditionalFormatting sqref="K12:Q12">
    <cfRule type="containsText" dxfId="188" priority="239" operator="containsText" text="금액입력">
      <formula>NOT(ISERROR(SEARCH("금액입력",K12)))</formula>
    </cfRule>
  </conditionalFormatting>
  <conditionalFormatting sqref="K17:Q17">
    <cfRule type="containsText" dxfId="187" priority="233" operator="containsText" text="금액입력">
      <formula>NOT(ISERROR(SEARCH("금액입력",K17)))</formula>
    </cfRule>
  </conditionalFormatting>
  <conditionalFormatting sqref="K22:Q22">
    <cfRule type="containsText" dxfId="186" priority="227" operator="containsText" text="금액입력">
      <formula>NOT(ISERROR(SEARCH("금액입력",K22)))</formula>
    </cfRule>
  </conditionalFormatting>
  <conditionalFormatting sqref="K27:Q27">
    <cfRule type="containsText" dxfId="185" priority="221" operator="containsText" text="금액입력">
      <formula>NOT(ISERROR(SEARCH("금액입력",K27)))</formula>
    </cfRule>
  </conditionalFormatting>
  <conditionalFormatting sqref="K32:Q32">
    <cfRule type="containsText" dxfId="184" priority="215" operator="containsText" text="금액입력">
      <formula>NOT(ISERROR(SEARCH("금액입력",K32)))</formula>
    </cfRule>
  </conditionalFormatting>
  <conditionalFormatting sqref="K37:Q37">
    <cfRule type="containsText" dxfId="183" priority="209" operator="containsText" text="금액입력">
      <formula>NOT(ISERROR(SEARCH("금액입력",K37)))</formula>
    </cfRule>
  </conditionalFormatting>
  <conditionalFormatting sqref="K42:Q42">
    <cfRule type="containsText" dxfId="182" priority="203" operator="containsText" text="금액입력">
      <formula>NOT(ISERROR(SEARCH("금액입력",K42)))</formula>
    </cfRule>
  </conditionalFormatting>
  <conditionalFormatting sqref="K47:Q47">
    <cfRule type="containsText" dxfId="181" priority="197" operator="containsText" text="금액입력">
      <formula>NOT(ISERROR(SEARCH("금액입력",K47)))</formula>
    </cfRule>
  </conditionalFormatting>
  <conditionalFormatting sqref="K6:L6">
    <cfRule type="containsText" dxfId="180" priority="192" operator="containsText" text="금액입력">
      <formula>NOT(ISERROR(SEARCH("금액입력",K6)))</formula>
    </cfRule>
  </conditionalFormatting>
  <conditionalFormatting sqref="B8:C11 B13:C16 B18:C21 B23:C26 B28:C31 B33:C36 B38:C41 B43:C46 B48:C51">
    <cfRule type="containsText" dxfId="179" priority="151" operator="containsText" text="직접입력">
      <formula>NOT(ISERROR(SEARCH("직접입력",B8)))</formula>
    </cfRule>
  </conditionalFormatting>
  <conditionalFormatting sqref="F8:G11">
    <cfRule type="containsText" dxfId="178" priority="100" operator="containsText" text="직접입력">
      <formula>NOT(ISERROR(SEARCH("직접입력",F8)))</formula>
    </cfRule>
  </conditionalFormatting>
  <conditionalFormatting sqref="K8:K11">
    <cfRule type="containsText" dxfId="177" priority="83" operator="containsText" text="부기명 입력">
      <formula>NOT(ISERROR(SEARCH("부기명 입력",K8)))</formula>
    </cfRule>
  </conditionalFormatting>
  <conditionalFormatting sqref="K8:K11">
    <cfRule type="containsText" dxfId="176" priority="82" operator="containsText" text="금액입력">
      <formula>NOT(ISERROR(SEARCH("금액입력",K8)))</formula>
    </cfRule>
  </conditionalFormatting>
  <conditionalFormatting sqref="L8:L11">
    <cfRule type="containsText" dxfId="175" priority="81" operator="containsText" text="금액입력">
      <formula>NOT(ISERROR(SEARCH("금액입력",L8)))</formula>
    </cfRule>
  </conditionalFormatting>
  <conditionalFormatting sqref="F13:G16">
    <cfRule type="containsText" dxfId="174" priority="32" operator="containsText" text="직접입력">
      <formula>NOT(ISERROR(SEARCH("직접입력",F13)))</formula>
    </cfRule>
  </conditionalFormatting>
  <conditionalFormatting sqref="F18:G21">
    <cfRule type="containsText" dxfId="173" priority="31" operator="containsText" text="직접입력">
      <formula>NOT(ISERROR(SEARCH("직접입력",F18)))</formula>
    </cfRule>
  </conditionalFormatting>
  <conditionalFormatting sqref="F23:G26">
    <cfRule type="containsText" dxfId="172" priority="30" operator="containsText" text="직접입력">
      <formula>NOT(ISERROR(SEARCH("직접입력",F23)))</formula>
    </cfRule>
  </conditionalFormatting>
  <conditionalFormatting sqref="F28:G31">
    <cfRule type="containsText" dxfId="171" priority="29" operator="containsText" text="직접입력">
      <formula>NOT(ISERROR(SEARCH("직접입력",F28)))</formula>
    </cfRule>
  </conditionalFormatting>
  <conditionalFormatting sqref="F33:G36">
    <cfRule type="containsText" dxfId="170" priority="28" operator="containsText" text="직접입력">
      <formula>NOT(ISERROR(SEARCH("직접입력",F33)))</formula>
    </cfRule>
  </conditionalFormatting>
  <conditionalFormatting sqref="F38:G41">
    <cfRule type="containsText" dxfId="169" priority="27" operator="containsText" text="직접입력">
      <formula>NOT(ISERROR(SEARCH("직접입력",F38)))</formula>
    </cfRule>
  </conditionalFormatting>
  <conditionalFormatting sqref="F43:G46">
    <cfRule type="containsText" dxfId="168" priority="26" operator="containsText" text="직접입력">
      <formula>NOT(ISERROR(SEARCH("직접입력",F43)))</formula>
    </cfRule>
  </conditionalFormatting>
  <conditionalFormatting sqref="F48:G51">
    <cfRule type="containsText" dxfId="167" priority="25" operator="containsText" text="직접입력">
      <formula>NOT(ISERROR(SEARCH("직접입력",F48)))</formula>
    </cfRule>
  </conditionalFormatting>
  <conditionalFormatting sqref="K13:K16">
    <cfRule type="containsText" dxfId="166" priority="24" operator="containsText" text="부기명 입력">
      <formula>NOT(ISERROR(SEARCH("부기명 입력",K13)))</formula>
    </cfRule>
  </conditionalFormatting>
  <conditionalFormatting sqref="K13:K16">
    <cfRule type="containsText" dxfId="165" priority="23" operator="containsText" text="금액입력">
      <formula>NOT(ISERROR(SEARCH("금액입력",K13)))</formula>
    </cfRule>
  </conditionalFormatting>
  <conditionalFormatting sqref="L13:L16">
    <cfRule type="containsText" dxfId="164" priority="22" operator="containsText" text="금액입력">
      <formula>NOT(ISERROR(SEARCH("금액입력",L13)))</formula>
    </cfRule>
  </conditionalFormatting>
  <conditionalFormatting sqref="K18:K21">
    <cfRule type="containsText" dxfId="163" priority="21" operator="containsText" text="부기명 입력">
      <formula>NOT(ISERROR(SEARCH("부기명 입력",K18)))</formula>
    </cfRule>
  </conditionalFormatting>
  <conditionalFormatting sqref="K18:K21">
    <cfRule type="containsText" dxfId="162" priority="20" operator="containsText" text="금액입력">
      <formula>NOT(ISERROR(SEARCH("금액입력",K18)))</formula>
    </cfRule>
  </conditionalFormatting>
  <conditionalFormatting sqref="L18:L21">
    <cfRule type="containsText" dxfId="161" priority="19" operator="containsText" text="금액입력">
      <formula>NOT(ISERROR(SEARCH("금액입력",L18)))</formula>
    </cfRule>
  </conditionalFormatting>
  <conditionalFormatting sqref="K23:K26">
    <cfRule type="containsText" dxfId="160" priority="18" operator="containsText" text="부기명 입력">
      <formula>NOT(ISERROR(SEARCH("부기명 입력",K23)))</formula>
    </cfRule>
  </conditionalFormatting>
  <conditionalFormatting sqref="K23:K26">
    <cfRule type="containsText" dxfId="159" priority="17" operator="containsText" text="금액입력">
      <formula>NOT(ISERROR(SEARCH("금액입력",K23)))</formula>
    </cfRule>
  </conditionalFormatting>
  <conditionalFormatting sqref="L23:L26">
    <cfRule type="containsText" dxfId="158" priority="16" operator="containsText" text="금액입력">
      <formula>NOT(ISERROR(SEARCH("금액입력",L23)))</formula>
    </cfRule>
  </conditionalFormatting>
  <conditionalFormatting sqref="K28:K31">
    <cfRule type="containsText" dxfId="157" priority="15" operator="containsText" text="부기명 입력">
      <formula>NOT(ISERROR(SEARCH("부기명 입력",K28)))</formula>
    </cfRule>
  </conditionalFormatting>
  <conditionalFormatting sqref="K28:K31">
    <cfRule type="containsText" dxfId="156" priority="14" operator="containsText" text="금액입력">
      <formula>NOT(ISERROR(SEARCH("금액입력",K28)))</formula>
    </cfRule>
  </conditionalFormatting>
  <conditionalFormatting sqref="L28:L31">
    <cfRule type="containsText" dxfId="155" priority="13" operator="containsText" text="금액입력">
      <formula>NOT(ISERROR(SEARCH("금액입력",L28)))</formula>
    </cfRule>
  </conditionalFormatting>
  <conditionalFormatting sqref="K33:K36">
    <cfRule type="containsText" dxfId="154" priority="12" operator="containsText" text="부기명 입력">
      <formula>NOT(ISERROR(SEARCH("부기명 입력",K33)))</formula>
    </cfRule>
  </conditionalFormatting>
  <conditionalFormatting sqref="K33:K36">
    <cfRule type="containsText" dxfId="153" priority="11" operator="containsText" text="금액입력">
      <formula>NOT(ISERROR(SEARCH("금액입력",K33)))</formula>
    </cfRule>
  </conditionalFormatting>
  <conditionalFormatting sqref="L33:L36">
    <cfRule type="containsText" dxfId="152" priority="10" operator="containsText" text="금액입력">
      <formula>NOT(ISERROR(SEARCH("금액입력",L33)))</formula>
    </cfRule>
  </conditionalFormatting>
  <conditionalFormatting sqref="K38:K41">
    <cfRule type="containsText" dxfId="151" priority="9" operator="containsText" text="부기명 입력">
      <formula>NOT(ISERROR(SEARCH("부기명 입력",K38)))</formula>
    </cfRule>
  </conditionalFormatting>
  <conditionalFormatting sqref="K38:K41">
    <cfRule type="containsText" dxfId="150" priority="8" operator="containsText" text="금액입력">
      <formula>NOT(ISERROR(SEARCH("금액입력",K38)))</formula>
    </cfRule>
  </conditionalFormatting>
  <conditionalFormatting sqref="L38:L41">
    <cfRule type="containsText" dxfId="149" priority="7" operator="containsText" text="금액입력">
      <formula>NOT(ISERROR(SEARCH("금액입력",L38)))</formula>
    </cfRule>
  </conditionalFormatting>
  <conditionalFormatting sqref="K43:K46">
    <cfRule type="containsText" dxfId="148" priority="6" operator="containsText" text="부기명 입력">
      <formula>NOT(ISERROR(SEARCH("부기명 입력",K43)))</formula>
    </cfRule>
  </conditionalFormatting>
  <conditionalFormatting sqref="K43:K46">
    <cfRule type="containsText" dxfId="147" priority="5" operator="containsText" text="금액입력">
      <formula>NOT(ISERROR(SEARCH("금액입력",K43)))</formula>
    </cfRule>
  </conditionalFormatting>
  <conditionalFormatting sqref="L43:L46">
    <cfRule type="containsText" dxfId="146" priority="4" operator="containsText" text="금액입력">
      <formula>NOT(ISERROR(SEARCH("금액입력",L43)))</formula>
    </cfRule>
  </conditionalFormatting>
  <conditionalFormatting sqref="K48:K51">
    <cfRule type="containsText" dxfId="145" priority="3" operator="containsText" text="부기명 입력">
      <formula>NOT(ISERROR(SEARCH("부기명 입력",K48)))</formula>
    </cfRule>
  </conditionalFormatting>
  <conditionalFormatting sqref="K48:K51">
    <cfRule type="containsText" dxfId="144" priority="2" operator="containsText" text="금액입력">
      <formula>NOT(ISERROR(SEARCH("금액입력",K48)))</formula>
    </cfRule>
  </conditionalFormatting>
  <conditionalFormatting sqref="L48:L51">
    <cfRule type="containsText" dxfId="143" priority="1" operator="containsText" text="금액입력">
      <formula>NOT(ISERROR(SEARCH("금액입력",L48)))</formula>
    </cfRule>
  </conditionalFormatting>
  <dataValidations count="4">
    <dataValidation type="list" allowBlank="1" showInputMessage="1" showErrorMessage="1" sqref="U43:U46 U38:U41 U8:U11 U13:U16 U18:U21 U23:U26 U28:U31 U33:U36 U48:U51" xr:uid="{00000000-0002-0000-0700-000000000000}">
      <formula1>"동의, 부동의, 미실시"</formula1>
    </dataValidation>
    <dataValidation type="list" allowBlank="1" showInputMessage="1" showErrorMessage="1" sqref="AG13:AG16 AG38:AG41 AG18:AG21 AG23:AG26 AG28:AG31 AG33:AG36 AG43:AG46 AG8:AG11 AG48:AG51" xr:uid="{00000000-0002-0000-0700-000001000000}">
      <formula1>"도비,국비,균특,기금,특교,소교"</formula1>
    </dataValidation>
    <dataValidation type="list" allowBlank="1" showInputMessage="1" showErrorMessage="1" sqref="E6" xr:uid="{00000000-0002-0000-0700-000004000000}">
      <formula1>"본예산, 신규"</formula1>
    </dataValidation>
    <dataValidation type="list" allowBlank="1" showInputMessage="1" showErrorMessage="1" sqref="E33:E36 E38:E41 E43:E46 E8:E11 E13:E16 E18:E21 E23:E26 E28:E31 E48:E51" xr:uid="{D8441964-E9B1-4D49-B6E9-D186635FCCBA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4" fitToHeight="0" orientation="landscape" r:id="rId1"/>
  <headerFooter>
    <oddFooter>&amp;C&amp;P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AQ82"/>
  <sheetViews>
    <sheetView view="pageBreakPreview" zoomScale="55" zoomScaleNormal="40" zoomScaleSheetLayoutView="55" workbookViewId="0">
      <pane ySplit="5" topLeftCell="A6" activePane="bottomLeft" state="frozen"/>
      <selection pane="bottomLeft" activeCell="A47" sqref="A47"/>
    </sheetView>
  </sheetViews>
  <sheetFormatPr defaultColWidth="9" defaultRowHeight="50.1" customHeight="1"/>
  <cols>
    <col min="1" max="1" width="7.875" style="22" bestFit="1" customWidth="1"/>
    <col min="2" max="2" width="22.375" style="47" bestFit="1" customWidth="1"/>
    <col min="3" max="3" width="20.625" style="47" customWidth="1"/>
    <col min="4" max="4" width="19.75" style="47" customWidth="1"/>
    <col min="5" max="5" width="10.375" style="47" bestFit="1" customWidth="1"/>
    <col min="6" max="7" width="15.625" style="20" customWidth="1"/>
    <col min="8" max="8" width="20.375" style="26" bestFit="1" customWidth="1"/>
    <col min="9" max="10" width="16.125" style="26" bestFit="1" customWidth="1"/>
    <col min="11" max="11" width="37" style="26" customWidth="1"/>
    <col min="12" max="12" width="33.5" style="26" customWidth="1"/>
    <col min="13" max="14" width="25.625" style="26" customWidth="1"/>
    <col min="15" max="18" width="25.625" style="380" customWidth="1"/>
    <col min="19" max="19" width="25.625" style="404" customWidth="1"/>
    <col min="20" max="20" width="12.625" style="20" customWidth="1"/>
    <col min="21" max="21" width="19.625" style="31" bestFit="1" customWidth="1"/>
    <col min="22" max="22" width="26.625" style="32" bestFit="1" customWidth="1"/>
    <col min="23" max="23" width="14.875" style="33" bestFit="1" customWidth="1"/>
    <col min="24" max="24" width="25.625" style="21" customWidth="1"/>
    <col min="25" max="25" width="16.5" style="21" customWidth="1"/>
    <col min="26" max="26" width="16.5" style="20" bestFit="1" customWidth="1"/>
    <col min="27" max="27" width="3.625" style="20" customWidth="1"/>
    <col min="28" max="29" width="25.625" style="380" customWidth="1"/>
    <col min="30" max="30" width="17.875" style="20" bestFit="1" customWidth="1"/>
    <col min="31" max="31" width="4.5" customWidth="1"/>
    <col min="32" max="33" width="25.625" style="380" customWidth="1"/>
    <col min="34" max="34" width="17.875" style="20" bestFit="1" customWidth="1"/>
    <col min="35" max="35" width="2.625" style="20" customWidth="1"/>
    <col min="36" max="36" width="20.625" style="20" customWidth="1"/>
    <col min="37" max="37" width="7.875" style="20" bestFit="1" customWidth="1"/>
    <col min="38" max="38" width="15.875" style="20" customWidth="1"/>
    <col min="39" max="39" width="11.25" style="43" customWidth="1"/>
    <col min="40" max="40" width="10.375" style="43" customWidth="1"/>
    <col min="41" max="41" width="2.625" style="20" customWidth="1"/>
    <col min="42" max="42" width="10.875" style="20" customWidth="1"/>
    <col min="43" max="43" width="9" style="20" customWidth="1"/>
    <col min="44" max="16384" width="9" style="20"/>
  </cols>
  <sheetData>
    <row r="1" spans="1:43" ht="93" customHeight="1">
      <c r="A1" s="620" t="s">
        <v>1071</v>
      </c>
      <c r="B1" s="620"/>
      <c r="C1" s="620"/>
      <c r="D1" s="620"/>
      <c r="E1" s="620"/>
      <c r="F1" s="620"/>
      <c r="G1" s="620"/>
      <c r="H1" s="620"/>
      <c r="I1" s="620"/>
      <c r="J1" s="620"/>
      <c r="K1" s="620"/>
      <c r="L1" s="620"/>
      <c r="M1" s="620"/>
      <c r="N1" s="620"/>
      <c r="O1" s="620"/>
      <c r="P1" s="620"/>
      <c r="Q1" s="620"/>
      <c r="R1" s="620"/>
      <c r="S1" s="620"/>
      <c r="T1" s="620"/>
      <c r="U1" s="620"/>
      <c r="V1" s="620"/>
      <c r="W1" s="620"/>
      <c r="X1" s="620"/>
      <c r="Y1" s="620"/>
      <c r="Z1" s="620"/>
      <c r="AB1" s="671" t="s">
        <v>1058</v>
      </c>
      <c r="AC1" s="672"/>
      <c r="AD1" s="673"/>
      <c r="AF1" s="674" t="s">
        <v>1058</v>
      </c>
      <c r="AG1" s="675"/>
      <c r="AH1" s="676"/>
      <c r="AJ1" s="639" t="s">
        <v>1057</v>
      </c>
      <c r="AK1" s="640"/>
      <c r="AL1" s="640"/>
      <c r="AM1" s="640"/>
      <c r="AN1" s="641"/>
    </row>
    <row r="2" spans="1:43" ht="39.75" customHeight="1">
      <c r="B2" s="652"/>
      <c r="C2" s="652"/>
      <c r="D2" s="652"/>
      <c r="E2" s="652"/>
      <c r="F2" s="652"/>
      <c r="G2" s="652"/>
      <c r="H2" s="652"/>
      <c r="I2" s="652"/>
      <c r="J2" s="652"/>
      <c r="K2" s="652"/>
      <c r="L2" s="652"/>
      <c r="M2" s="465"/>
      <c r="N2" s="465"/>
      <c r="O2" s="422"/>
      <c r="P2" s="399">
        <f>SUM(P6:P155)/2</f>
        <v>0</v>
      </c>
      <c r="Q2" s="399">
        <f>SUM(Q6:Q155)/2</f>
        <v>0</v>
      </c>
      <c r="R2" s="399">
        <f>SUM(R6:R155)/2</f>
        <v>0</v>
      </c>
      <c r="S2" s="399">
        <f>SUM(S6:S155)/2</f>
        <v>0</v>
      </c>
      <c r="T2" s="64"/>
      <c r="U2" s="30"/>
      <c r="V2" s="30"/>
      <c r="W2" s="34"/>
      <c r="X2" s="61"/>
      <c r="Y2" s="61"/>
      <c r="Z2" s="61" t="s">
        <v>297</v>
      </c>
      <c r="AB2" s="418" t="str">
        <f>IF(AB5='4. 특입'!Z6,"OK","@@")</f>
        <v>OK</v>
      </c>
      <c r="AC2" s="418" t="str">
        <f>IF(AC5='4. 특입'!AA6,"OK","@@")</f>
        <v>OK</v>
      </c>
      <c r="AD2" s="321"/>
      <c r="AE2" s="279"/>
      <c r="AF2" s="418" t="str">
        <f>IF(AF5='4. 특입'!AC6,"OK","@@")</f>
        <v>OK</v>
      </c>
      <c r="AG2" s="418" t="str">
        <f>IF(AG5='4. 특입'!AD6,"OK","@@")</f>
        <v>OK</v>
      </c>
      <c r="AH2" s="23"/>
    </row>
    <row r="3" spans="1:43" s="272" customFormat="1" ht="60" customHeight="1">
      <c r="A3" s="579" t="s">
        <v>184</v>
      </c>
      <c r="B3" s="583" t="s">
        <v>110</v>
      </c>
      <c r="C3" s="583" t="s">
        <v>111</v>
      </c>
      <c r="D3" s="583" t="s">
        <v>112</v>
      </c>
      <c r="E3" s="584" t="s">
        <v>113</v>
      </c>
      <c r="F3" s="584" t="s">
        <v>1084</v>
      </c>
      <c r="G3" s="584" t="s">
        <v>251</v>
      </c>
      <c r="H3" s="669" t="s">
        <v>766</v>
      </c>
      <c r="I3" s="579" t="s">
        <v>269</v>
      </c>
      <c r="J3" s="579" t="s">
        <v>767</v>
      </c>
      <c r="K3" s="579" t="s">
        <v>765</v>
      </c>
      <c r="L3" s="579" t="s">
        <v>504</v>
      </c>
      <c r="M3" s="580" t="s">
        <v>1642</v>
      </c>
      <c r="N3" s="580" t="s">
        <v>1637</v>
      </c>
      <c r="O3" s="580" t="s">
        <v>1076</v>
      </c>
      <c r="P3" s="568" t="s">
        <v>1077</v>
      </c>
      <c r="Q3" s="567" t="s">
        <v>1080</v>
      </c>
      <c r="R3" s="568" t="s">
        <v>1078</v>
      </c>
      <c r="S3" s="567" t="s">
        <v>1079</v>
      </c>
      <c r="T3" s="598" t="s">
        <v>253</v>
      </c>
      <c r="U3" s="567" t="s">
        <v>255</v>
      </c>
      <c r="V3" s="567" t="s">
        <v>254</v>
      </c>
      <c r="W3" s="567" t="s">
        <v>256</v>
      </c>
      <c r="X3" s="598" t="s">
        <v>761</v>
      </c>
      <c r="Y3" s="598" t="s">
        <v>298</v>
      </c>
      <c r="Z3" s="668" t="s">
        <v>115</v>
      </c>
      <c r="AB3" s="653" t="s">
        <v>117</v>
      </c>
      <c r="AC3" s="653"/>
      <c r="AD3" s="653"/>
      <c r="AF3" s="663" t="s">
        <v>121</v>
      </c>
      <c r="AG3" s="663"/>
      <c r="AH3" s="663"/>
      <c r="AJ3" s="667" t="s">
        <v>122</v>
      </c>
      <c r="AK3" s="588" t="s">
        <v>130</v>
      </c>
      <c r="AL3" s="588" t="s">
        <v>1019</v>
      </c>
      <c r="AM3" s="637" t="s">
        <v>116</v>
      </c>
      <c r="AN3" s="588" t="s">
        <v>1022</v>
      </c>
      <c r="AP3" s="587" t="s">
        <v>123</v>
      </c>
    </row>
    <row r="4" spans="1:43" s="272" customFormat="1" ht="60" customHeight="1">
      <c r="A4" s="579"/>
      <c r="B4" s="583"/>
      <c r="C4" s="583"/>
      <c r="D4" s="583"/>
      <c r="E4" s="584"/>
      <c r="F4" s="584"/>
      <c r="G4" s="584"/>
      <c r="H4" s="670"/>
      <c r="I4" s="579"/>
      <c r="J4" s="579"/>
      <c r="K4" s="579"/>
      <c r="L4" s="579"/>
      <c r="M4" s="581"/>
      <c r="N4" s="581"/>
      <c r="O4" s="581"/>
      <c r="P4" s="570"/>
      <c r="Q4" s="599"/>
      <c r="R4" s="570"/>
      <c r="S4" s="599"/>
      <c r="T4" s="598"/>
      <c r="U4" s="567"/>
      <c r="V4" s="567"/>
      <c r="W4" s="567"/>
      <c r="X4" s="598"/>
      <c r="Y4" s="598"/>
      <c r="Z4" s="626"/>
      <c r="AB4" s="419" t="s">
        <v>118</v>
      </c>
      <c r="AC4" s="419" t="s">
        <v>119</v>
      </c>
      <c r="AD4" s="293" t="s">
        <v>1050</v>
      </c>
      <c r="AF4" s="406" t="s">
        <v>118</v>
      </c>
      <c r="AG4" s="406" t="s">
        <v>119</v>
      </c>
      <c r="AH4" s="315" t="s">
        <v>1050</v>
      </c>
      <c r="AJ4" s="667"/>
      <c r="AK4" s="588"/>
      <c r="AL4" s="588"/>
      <c r="AM4" s="637"/>
      <c r="AN4" s="588"/>
      <c r="AP4" s="589"/>
    </row>
    <row r="5" spans="1:43" s="360" customFormat="1" ht="80.099999999999994" customHeight="1">
      <c r="A5" s="362"/>
      <c r="B5" s="132" t="s">
        <v>128</v>
      </c>
      <c r="C5" s="353" t="s">
        <v>191</v>
      </c>
      <c r="D5" s="354"/>
      <c r="E5" s="355"/>
      <c r="F5" s="363"/>
      <c r="G5" s="363"/>
      <c r="H5" s="364" t="s">
        <v>191</v>
      </c>
      <c r="I5" s="364" t="s">
        <v>191</v>
      </c>
      <c r="J5" s="364" t="s">
        <v>191</v>
      </c>
      <c r="K5" s="364" t="s">
        <v>191</v>
      </c>
      <c r="L5" s="316" t="str">
        <f>SUBTOTAL(3,L$7:L$1991)&amp;"건"</f>
        <v>0건</v>
      </c>
      <c r="M5" s="423">
        <f t="shared" ref="M5:N5" si="0">SUBTOTAL(9,M$6:M$1991)</f>
        <v>0</v>
      </c>
      <c r="N5" s="423">
        <f t="shared" si="0"/>
        <v>0</v>
      </c>
      <c r="O5" s="423">
        <f>SUBTOTAL(9,O$6:O$1991)</f>
        <v>0</v>
      </c>
      <c r="P5" s="423">
        <f>SUBTOTAL(9,P$6:P$1991)</f>
        <v>0</v>
      </c>
      <c r="Q5" s="423">
        <f>SUBTOTAL(9,Q$6:Q$1991)</f>
        <v>0</v>
      </c>
      <c r="R5" s="423">
        <f>SUBTOTAL(9,R$6:R$1991)</f>
        <v>0</v>
      </c>
      <c r="S5" s="423">
        <f>SUBTOTAL(9,S$6:S$1991)</f>
        <v>0</v>
      </c>
      <c r="T5" s="133"/>
      <c r="U5" s="365"/>
      <c r="V5" s="366"/>
      <c r="W5" s="362"/>
      <c r="X5" s="367"/>
      <c r="Y5" s="367"/>
      <c r="Z5" s="368"/>
      <c r="AA5" s="38"/>
      <c r="AB5" s="423">
        <f>SUBTOTAL(9,AB$6:AB$2000)</f>
        <v>0</v>
      </c>
      <c r="AC5" s="423">
        <f>SUBTOTAL(9,AC$6:AC$2000)</f>
        <v>0</v>
      </c>
      <c r="AD5" s="294" t="str">
        <f>IF(COUNTIF(AD$7:AD$2000,"@@")&gt;0,"@@","OK")</f>
        <v>OK</v>
      </c>
      <c r="AE5" s="369"/>
      <c r="AF5" s="423">
        <f>SUBTOTAL(9,AF$6:AF$2000)</f>
        <v>0</v>
      </c>
      <c r="AG5" s="423">
        <f>SUBTOTAL(9,AG$6:AG$2000)</f>
        <v>0</v>
      </c>
      <c r="AH5" s="294" t="str">
        <f>IF(COUNTIF(AH$7:AH$2000,"@@")&gt;0,"@@","OK")</f>
        <v>OK</v>
      </c>
      <c r="AI5" s="38"/>
      <c r="AJ5" s="294"/>
      <c r="AK5" s="318"/>
      <c r="AL5" s="294" t="str">
        <f>IF(COUNTIF(AL$7:AL$2000,"@@")&gt;0,"@@","OK")</f>
        <v>OK</v>
      </c>
      <c r="AM5" s="370"/>
      <c r="AN5" s="294" t="str">
        <f>IF(COUNTIF(AN$7:AN$2000,"@@")&gt;0,"@@","OK")</f>
        <v>OK</v>
      </c>
      <c r="AO5" s="38"/>
      <c r="AP5" s="294"/>
    </row>
    <row r="6" spans="1:43" ht="60" customHeight="1">
      <c r="A6" s="125"/>
      <c r="B6" s="666" t="s">
        <v>768</v>
      </c>
      <c r="C6" s="666"/>
      <c r="D6" s="666"/>
      <c r="E6" s="666"/>
      <c r="F6" s="666"/>
      <c r="G6" s="666"/>
      <c r="H6" s="126"/>
      <c r="I6" s="126"/>
      <c r="J6" s="126"/>
      <c r="K6" s="126"/>
      <c r="L6" s="295" t="str">
        <f>SUBTOTAL(3,L7:L10)&amp;"건"</f>
        <v>0건</v>
      </c>
      <c r="M6" s="403">
        <f t="shared" ref="M6:S6" si="1">SUBTOTAL(9,M7:M10)</f>
        <v>0</v>
      </c>
      <c r="N6" s="403">
        <f t="shared" si="1"/>
        <v>0</v>
      </c>
      <c r="O6" s="403">
        <f t="shared" si="1"/>
        <v>0</v>
      </c>
      <c r="P6" s="403">
        <f t="shared" si="1"/>
        <v>0</v>
      </c>
      <c r="Q6" s="403">
        <f t="shared" si="1"/>
        <v>0</v>
      </c>
      <c r="R6" s="403">
        <f t="shared" si="1"/>
        <v>0</v>
      </c>
      <c r="S6" s="403">
        <f t="shared" si="1"/>
        <v>0</v>
      </c>
      <c r="T6" s="125"/>
      <c r="U6" s="127"/>
      <c r="V6" s="127"/>
      <c r="W6" s="128"/>
      <c r="X6" s="129"/>
      <c r="Y6" s="129"/>
      <c r="Z6" s="71"/>
      <c r="AA6" s="43"/>
      <c r="AB6" s="390">
        <f>SUBTOTAL(9,AB7:AB10)</f>
        <v>0</v>
      </c>
      <c r="AC6" s="390">
        <f>SUBTOTAL(9,AC7:AC10)</f>
        <v>0</v>
      </c>
      <c r="AD6" s="471" t="str">
        <f>IF(COUNTIF(AD7:AD10,"@@")&gt;0,"@@","OK")</f>
        <v>OK</v>
      </c>
      <c r="AF6" s="390">
        <f>SUBTOTAL(9,AF7:AF10)</f>
        <v>0</v>
      </c>
      <c r="AG6" s="390">
        <f>SUBTOTAL(9,AG7:AG10)</f>
        <v>0</v>
      </c>
      <c r="AH6" s="471" t="str">
        <f>IF(COUNTIF(AH7:AH10,"@@")&gt;0,"@@","OK")</f>
        <v>OK</v>
      </c>
      <c r="AI6" s="36"/>
      <c r="AJ6" s="71"/>
      <c r="AK6" s="71"/>
      <c r="AL6" s="471" t="str">
        <f>IF(COUNTIF(AL7:AL10,"@@")&gt;0,"@@","OK")</f>
        <v>OK</v>
      </c>
      <c r="AM6" s="71"/>
      <c r="AN6" s="471" t="str">
        <f>IF(COUNTIF(AN7:AN10,"@@")&gt;0,"@@","OK")</f>
        <v>OK</v>
      </c>
      <c r="AO6" s="36"/>
      <c r="AP6" s="71"/>
    </row>
    <row r="7" spans="1:43" ht="80.099999999999994" customHeight="1">
      <c r="A7" s="115" t="str">
        <f>IF(D7="","",COUNTA($C$6:C7)-COUNTBLANK($C$6:C7)+1)</f>
        <v/>
      </c>
      <c r="B7" s="116" t="str">
        <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f>
        <v/>
      </c>
      <c r="C7" s="116" t="str">
        <f>IF(D7="","",IF(OR(D7="교육지원과"),"소방재난본부",VLOOKUP(D7,구분표!$A$3:$C$258,3,)))</f>
        <v/>
      </c>
      <c r="D7" s="173"/>
      <c r="E7" s="161" t="s">
        <v>1640</v>
      </c>
      <c r="F7" s="323" t="str">
        <f>IF($E7="","",IF($E7="2추","직접입력","-"))</f>
        <v>-</v>
      </c>
      <c r="G7" s="323" t="str">
        <f>IF($E7="","",IF($E7="2추","직접입력","-"))</f>
        <v>-</v>
      </c>
      <c r="H7" s="161"/>
      <c r="I7" s="116" t="str">
        <f>IF(H7="","",VLOOKUP($H7,구분표!$K$3:$M$151,2,FALSE))</f>
        <v/>
      </c>
      <c r="J7" s="116" t="str">
        <f>IF(I7="","",VLOOKUP($H7,구분표!$K$3:$M$151,3,FALSE))</f>
        <v/>
      </c>
      <c r="K7" s="180"/>
      <c r="L7" s="180"/>
      <c r="M7" s="385" t="str">
        <f>IF($E7="","",IF(OR($E7="2추", $E7="1추", $E7="본예산"), "금액입력", "-"))</f>
        <v>금액입력</v>
      </c>
      <c r="N7" s="385" t="str">
        <f>IF($E7="", "", IF($E7="2추","금액입력", "-"))</f>
        <v>-</v>
      </c>
      <c r="O7" s="387">
        <f>IF($E7="","",SUM(M7:N7))</f>
        <v>0</v>
      </c>
      <c r="P7" s="386"/>
      <c r="Q7" s="387">
        <f>SUM(O7:P7)</f>
        <v>0</v>
      </c>
      <c r="R7" s="388"/>
      <c r="S7" s="389">
        <f>SUM(O7,R7)</f>
        <v>0</v>
      </c>
      <c r="T7" s="118" t="str">
        <f t="shared" ref="T7" si="2">IF(AND((Q7=0),(S7&gt;0)),"O",IF(AND((P7&lt;0),(Q7-S7&lt;0)),"O","X"))</f>
        <v>X</v>
      </c>
      <c r="U7" s="180"/>
      <c r="V7" s="172"/>
      <c r="W7" s="165"/>
      <c r="X7" s="181"/>
      <c r="Y7" s="165"/>
      <c r="Z7" s="296" t="str">
        <f>IF($K7="","",IF(COUNT(FIND("국비/",$K7)),"국도비",IF(COUNT(FIND("균특/",$K7)),"국도비",IF(COUNT(FIND("기금/",$K7)),"국도비",IF(COUNT(FIND("교부세/",$K7)),"국도비",IF(COUNT(FIND("소방안전/",$K7)),"국도비",IF(COUNT(FIND("소멸대응/",$K7)),"국도비","도비")))))))</f>
        <v/>
      </c>
      <c r="AA7" s="119"/>
      <c r="AB7" s="412" t="str">
        <f t="shared" ref="AB7:AB50" si="3">IF($Z7="","",IF($Z7="국도비","금액입력",0))</f>
        <v/>
      </c>
      <c r="AC7" s="413">
        <f t="shared" ref="AC7" si="4">IFERROR(P7-AB7,0)</f>
        <v>0</v>
      </c>
      <c r="AD7" s="296" t="str">
        <f t="shared" ref="AD7:AD50" si="5">IF($P7=SUM($AB7:$AC7),"OK","@@")</f>
        <v>OK</v>
      </c>
      <c r="AF7" s="428" t="str">
        <f t="shared" ref="AF7:AF50" si="6">IF($Z7="","",IF($Z7="국도비","금액입력",0))</f>
        <v/>
      </c>
      <c r="AG7" s="429">
        <f t="shared" ref="AG7" si="7">IFERROR(R7-AF7,0)</f>
        <v>0</v>
      </c>
      <c r="AH7" s="317" t="str">
        <f t="shared" ref="AH7:AH50" si="8">IF($R7=SUM($AF7:$AG7),"OK","@@")</f>
        <v>OK</v>
      </c>
      <c r="AI7" s="46"/>
      <c r="AJ7" s="169" t="str">
        <f t="shared" ref="AJ7:AJ50" si="9">IF($Z7="","",IF($Z7="도비","-","세입번호입력"))</f>
        <v/>
      </c>
      <c r="AK7" s="296" t="str">
        <f t="shared" ref="AK7:AK50" si="10">IF(OR($AJ7="",$AJ7="-", $AJ7="세입번호입력"),"", COUNTIF($AJ$7:$AJ$995, $AJ7))</f>
        <v/>
      </c>
      <c r="AL7" s="296" t="str">
        <f t="shared" ref="AL7:AL50" si="11">IF($AJ7="","",IF($Z7="도비", "OK",IF(AND($Z7="국도비",$AJ7="세입없음"),"OK", IF(AND($Z7="국도비",$AJ7="세입번호입력"),"@@","OK"))))</f>
        <v/>
      </c>
      <c r="AM7" s="296" t="str">
        <f t="shared" ref="AM7:AM50" si="12">IF($K7="","",IF(COUNT(FIND("국비/",$K7)),"국비",IF(COUNT(FIND("균특/",$K7)),"균특",IF(COUNT(FIND("기금/",$K7)),"기금",IF(COUNT(FIND("교부세/",$K7)),"특교",IF(COUNT(FIND("소방안전/",$K7)),"소교",IF(COUNT(FIND("소멸대응/",$K7)),"소멸","도비")))))))</f>
        <v/>
      </c>
      <c r="AN7" s="296" t="str">
        <f>IF($AM7="","", IF($AM7="도비","OK",IF($AJ7="세입없음","OK",IF($AJ7="세입번호입력","@@",IF(VLOOKUP($AJ7,'4. 특입'!$AF$6:$AG$1000,2,FALSE)='4. 특출'!$AM7,"OK","@@")))))</f>
        <v/>
      </c>
      <c r="AO7" s="59"/>
      <c r="AP7" s="319"/>
      <c r="AQ7" s="27"/>
    </row>
    <row r="8" spans="1:43" ht="80.099999999999994" customHeight="1">
      <c r="A8" s="115" t="str">
        <f>IF(D8="","",COUNTA($C$6:C8)-COUNTBLANK($C$6:C8)+1)</f>
        <v/>
      </c>
      <c r="B8" s="116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16" t="str">
        <f>IF(D8="","",IF(OR(D8="교육지원과"),"소방재난본부",VLOOKUP(D8,구분표!$A$3:$C$258,3,)))</f>
        <v/>
      </c>
      <c r="D8" s="173"/>
      <c r="E8" s="161" t="s">
        <v>1639</v>
      </c>
      <c r="F8" s="323" t="str">
        <f t="shared" ref="F8:G10" si="13">IF($E8="","",IF($E8="2추","직접입력","-"))</f>
        <v>-</v>
      </c>
      <c r="G8" s="323" t="str">
        <f t="shared" si="13"/>
        <v>-</v>
      </c>
      <c r="H8" s="161"/>
      <c r="I8" s="116" t="str">
        <f>IF(H8="","",VLOOKUP($H8,구분표!$K$3:$M$151,2,FALSE))</f>
        <v/>
      </c>
      <c r="J8" s="116" t="str">
        <f>IF(I8="","",VLOOKUP($H8,구분표!$K$3:$M$151,3,FALSE))</f>
        <v/>
      </c>
      <c r="K8" s="180"/>
      <c r="L8" s="180"/>
      <c r="M8" s="385" t="str">
        <f t="shared" ref="M8:M10" si="14">IF($E8="","",IF(OR($E8="2추", $E8="1추", $E8="본예산"), "금액입력", "-"))</f>
        <v>금액입력</v>
      </c>
      <c r="N8" s="385" t="str">
        <f t="shared" ref="N8:N10" si="15">IF($E8="", "", IF($E8="2추","금액입력", "-"))</f>
        <v>-</v>
      </c>
      <c r="O8" s="387">
        <f t="shared" ref="O8:O10" si="16">IF($E8="","",SUM(M8:N8))</f>
        <v>0</v>
      </c>
      <c r="P8" s="386"/>
      <c r="Q8" s="387">
        <f t="shared" ref="Q8:Q10" si="17">SUM(O8:P8)</f>
        <v>0</v>
      </c>
      <c r="R8" s="388"/>
      <c r="S8" s="389">
        <f t="shared" ref="S8:S10" si="18">SUM(O8,R8)</f>
        <v>0</v>
      </c>
      <c r="T8" s="118" t="str">
        <f t="shared" ref="T8:T10" si="19">IF(AND((Q8=0),(S8&gt;0)),"O",IF(AND((P8&lt;0),(Q8-S8&lt;0)),"O","X"))</f>
        <v>X</v>
      </c>
      <c r="U8" s="180"/>
      <c r="V8" s="172"/>
      <c r="W8" s="165"/>
      <c r="X8" s="181"/>
      <c r="Y8" s="165"/>
      <c r="Z8" s="296" t="str">
        <f t="shared" ref="Z8:Z10" si="20"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f>
        <v/>
      </c>
      <c r="AA8" s="119"/>
      <c r="AB8" s="412" t="str">
        <f t="shared" si="3"/>
        <v/>
      </c>
      <c r="AC8" s="413">
        <f t="shared" ref="AC8:AC10" si="21">IFERROR(P8-AB8,0)</f>
        <v>0</v>
      </c>
      <c r="AD8" s="296" t="str">
        <f t="shared" si="5"/>
        <v>OK</v>
      </c>
      <c r="AF8" s="428" t="str">
        <f t="shared" si="6"/>
        <v/>
      </c>
      <c r="AG8" s="429">
        <f t="shared" ref="AG8:AG10" si="22">IFERROR(R8-AF8,0)</f>
        <v>0</v>
      </c>
      <c r="AH8" s="317" t="str">
        <f t="shared" si="8"/>
        <v>OK</v>
      </c>
      <c r="AI8" s="46"/>
      <c r="AJ8" s="169" t="str">
        <f t="shared" si="9"/>
        <v/>
      </c>
      <c r="AK8" s="296" t="str">
        <f t="shared" si="10"/>
        <v/>
      </c>
      <c r="AL8" s="296" t="str">
        <f t="shared" si="11"/>
        <v/>
      </c>
      <c r="AM8" s="296" t="str">
        <f t="shared" si="12"/>
        <v/>
      </c>
      <c r="AN8" s="296" t="str">
        <f>IF($AM8="","", IF($AM8="도비","OK",IF($AJ8="세입없음","OK",IF($AJ8="세입번호입력","@@",IF(VLOOKUP($AJ8,'4. 특입'!$AF$6:$AG$1000,2,FALSE)='4. 특출'!$AM8,"OK","@@")))))</f>
        <v/>
      </c>
      <c r="AO8" s="59"/>
      <c r="AP8" s="319"/>
      <c r="AQ8" s="27"/>
    </row>
    <row r="9" spans="1:43" ht="80.099999999999994" customHeight="1">
      <c r="A9" s="115" t="str">
        <f>IF(D9="","",COUNTA($C$6:C9)-COUNTBLANK($C$6:C9)+1)</f>
        <v/>
      </c>
      <c r="B9" s="116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16" t="str">
        <f>IF(D9="","",IF(OR(D9="교육지원과"),"소방재난본부",VLOOKUP(D9,구분표!$A$3:$C$258,3,)))</f>
        <v/>
      </c>
      <c r="D9" s="173"/>
      <c r="E9" s="161" t="s">
        <v>1638</v>
      </c>
      <c r="F9" s="323" t="str">
        <f t="shared" si="13"/>
        <v>직접입력</v>
      </c>
      <c r="G9" s="323" t="str">
        <f t="shared" si="13"/>
        <v>직접입력</v>
      </c>
      <c r="H9" s="161"/>
      <c r="I9" s="116" t="str">
        <f>IF(H9="","",VLOOKUP($H9,구분표!$K$3:$M$151,2,FALSE))</f>
        <v/>
      </c>
      <c r="J9" s="116" t="str">
        <f>IF(I9="","",VLOOKUP($H9,구분표!$K$3:$M$151,3,FALSE))</f>
        <v/>
      </c>
      <c r="K9" s="180"/>
      <c r="L9" s="180"/>
      <c r="M9" s="385" t="str">
        <f t="shared" si="14"/>
        <v>금액입력</v>
      </c>
      <c r="N9" s="385" t="str">
        <f t="shared" si="15"/>
        <v>금액입력</v>
      </c>
      <c r="O9" s="387">
        <f t="shared" si="16"/>
        <v>0</v>
      </c>
      <c r="P9" s="386"/>
      <c r="Q9" s="387">
        <f t="shared" si="17"/>
        <v>0</v>
      </c>
      <c r="R9" s="388"/>
      <c r="S9" s="389">
        <f t="shared" si="18"/>
        <v>0</v>
      </c>
      <c r="T9" s="118" t="str">
        <f t="shared" si="19"/>
        <v>X</v>
      </c>
      <c r="U9" s="180"/>
      <c r="V9" s="172"/>
      <c r="W9" s="165"/>
      <c r="X9" s="181"/>
      <c r="Y9" s="165"/>
      <c r="Z9" s="296" t="str">
        <f t="shared" si="20"/>
        <v/>
      </c>
      <c r="AA9" s="119"/>
      <c r="AB9" s="412" t="str">
        <f t="shared" si="3"/>
        <v/>
      </c>
      <c r="AC9" s="413">
        <f t="shared" si="21"/>
        <v>0</v>
      </c>
      <c r="AD9" s="296" t="str">
        <f t="shared" si="5"/>
        <v>OK</v>
      </c>
      <c r="AF9" s="428" t="str">
        <f t="shared" si="6"/>
        <v/>
      </c>
      <c r="AG9" s="429">
        <f t="shared" si="22"/>
        <v>0</v>
      </c>
      <c r="AH9" s="317" t="str">
        <f t="shared" si="8"/>
        <v>OK</v>
      </c>
      <c r="AI9" s="46"/>
      <c r="AJ9" s="169" t="str">
        <f t="shared" si="9"/>
        <v/>
      </c>
      <c r="AK9" s="296" t="str">
        <f t="shared" si="10"/>
        <v/>
      </c>
      <c r="AL9" s="296" t="str">
        <f t="shared" si="11"/>
        <v/>
      </c>
      <c r="AM9" s="296" t="str">
        <f t="shared" si="12"/>
        <v/>
      </c>
      <c r="AN9" s="296" t="str">
        <f>IF($AM9="","", IF($AM9="도비","OK",IF($AJ9="세입없음","OK",IF($AJ9="세입번호입력","@@",IF(VLOOKUP($AJ9,'4. 특입'!$AF$6:$AG$1000,2,FALSE)='4. 특출'!$AM9,"OK","@@")))))</f>
        <v/>
      </c>
      <c r="AO9" s="59"/>
      <c r="AP9" s="319"/>
    </row>
    <row r="10" spans="1:43" ht="80.099999999999994" customHeight="1">
      <c r="A10" s="115" t="str">
        <f>IF(D10="","",COUNTA($C$6:C10)-COUNTBLANK($C$6:C10)+1)</f>
        <v/>
      </c>
      <c r="B10" s="116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16" t="str">
        <f>IF(D10="","",IF(OR(D10="교육지원과"),"소방재난본부",VLOOKUP(D10,구분표!$A$3:$C$258,3,)))</f>
        <v/>
      </c>
      <c r="D10" s="173"/>
      <c r="E10" s="161" t="s">
        <v>1641</v>
      </c>
      <c r="F10" s="323" t="str">
        <f t="shared" si="13"/>
        <v>-</v>
      </c>
      <c r="G10" s="323" t="str">
        <f t="shared" si="13"/>
        <v>-</v>
      </c>
      <c r="H10" s="161"/>
      <c r="I10" s="116" t="str">
        <f>IF(H10="","",VLOOKUP($H10,구분표!$K$3:$M$151,2,FALSE))</f>
        <v/>
      </c>
      <c r="J10" s="116" t="str">
        <f>IF(I10="","",VLOOKUP($H10,구분표!$K$3:$M$151,3,FALSE))</f>
        <v/>
      </c>
      <c r="K10" s="180"/>
      <c r="L10" s="180"/>
      <c r="M10" s="385" t="str">
        <f t="shared" si="14"/>
        <v>-</v>
      </c>
      <c r="N10" s="385" t="str">
        <f t="shared" si="15"/>
        <v>-</v>
      </c>
      <c r="O10" s="387">
        <f t="shared" si="16"/>
        <v>0</v>
      </c>
      <c r="P10" s="386"/>
      <c r="Q10" s="387">
        <f t="shared" si="17"/>
        <v>0</v>
      </c>
      <c r="R10" s="388"/>
      <c r="S10" s="389">
        <f t="shared" si="18"/>
        <v>0</v>
      </c>
      <c r="T10" s="118" t="str">
        <f t="shared" si="19"/>
        <v>X</v>
      </c>
      <c r="U10" s="180"/>
      <c r="V10" s="172"/>
      <c r="W10" s="165"/>
      <c r="X10" s="181"/>
      <c r="Y10" s="165"/>
      <c r="Z10" s="296" t="str">
        <f t="shared" si="20"/>
        <v/>
      </c>
      <c r="AA10" s="119"/>
      <c r="AB10" s="412" t="str">
        <f t="shared" si="3"/>
        <v/>
      </c>
      <c r="AC10" s="413">
        <f t="shared" si="21"/>
        <v>0</v>
      </c>
      <c r="AD10" s="296" t="str">
        <f t="shared" si="5"/>
        <v>OK</v>
      </c>
      <c r="AF10" s="428" t="str">
        <f t="shared" si="6"/>
        <v/>
      </c>
      <c r="AG10" s="429">
        <f t="shared" si="22"/>
        <v>0</v>
      </c>
      <c r="AH10" s="317" t="str">
        <f t="shared" si="8"/>
        <v>OK</v>
      </c>
      <c r="AI10" s="46"/>
      <c r="AJ10" s="169" t="str">
        <f t="shared" si="9"/>
        <v/>
      </c>
      <c r="AK10" s="296" t="str">
        <f t="shared" si="10"/>
        <v/>
      </c>
      <c r="AL10" s="296" t="str">
        <f t="shared" si="11"/>
        <v/>
      </c>
      <c r="AM10" s="296" t="str">
        <f t="shared" si="12"/>
        <v/>
      </c>
      <c r="AN10" s="296" t="str">
        <f>IF($AM10="","", IF($AM10="도비","OK",IF($AJ10="세입없음","OK",IF($AJ10="세입번호입력","@@",IF(VLOOKUP($AJ10,'4. 특입'!$AF$6:$AG$1000,2,FALSE)='4. 특출'!$AM10,"OK","@@")))))</f>
        <v/>
      </c>
      <c r="AO10" s="59"/>
      <c r="AP10" s="319"/>
    </row>
    <row r="11" spans="1:43" ht="60" customHeight="1">
      <c r="A11" s="125"/>
      <c r="B11" s="666" t="s">
        <v>259</v>
      </c>
      <c r="C11" s="666"/>
      <c r="D11" s="666"/>
      <c r="E11" s="666"/>
      <c r="F11" s="666"/>
      <c r="G11" s="666"/>
      <c r="H11" s="126"/>
      <c r="I11" s="126"/>
      <c r="J11" s="126"/>
      <c r="K11" s="126"/>
      <c r="L11" s="295" t="str">
        <f>SUBTOTAL(3,L12:L15)&amp;"건"</f>
        <v>0건</v>
      </c>
      <c r="M11" s="403">
        <f t="shared" ref="M11:S11" si="23">SUBTOTAL(9,M12:M15)</f>
        <v>0</v>
      </c>
      <c r="N11" s="403">
        <f t="shared" si="23"/>
        <v>0</v>
      </c>
      <c r="O11" s="403">
        <f t="shared" si="23"/>
        <v>0</v>
      </c>
      <c r="P11" s="403">
        <f t="shared" si="23"/>
        <v>0</v>
      </c>
      <c r="Q11" s="403">
        <f t="shared" si="23"/>
        <v>0</v>
      </c>
      <c r="R11" s="403">
        <f t="shared" si="23"/>
        <v>0</v>
      </c>
      <c r="S11" s="403">
        <f t="shared" si="23"/>
        <v>0</v>
      </c>
      <c r="T11" s="125"/>
      <c r="U11" s="127"/>
      <c r="V11" s="127"/>
      <c r="W11" s="128"/>
      <c r="X11" s="129"/>
      <c r="Y11" s="129"/>
      <c r="Z11" s="71"/>
      <c r="AA11" s="43"/>
      <c r="AB11" s="390">
        <f>SUBTOTAL(9,AB12:AB15)</f>
        <v>0</v>
      </c>
      <c r="AC11" s="390">
        <f>SUBTOTAL(9,AC12:AC15)</f>
        <v>0</v>
      </c>
      <c r="AD11" s="471" t="str">
        <f>IF(COUNTIF(AD12:AD15,"@@")&gt;0,"@@","OK")</f>
        <v>OK</v>
      </c>
      <c r="AF11" s="390">
        <f>SUBTOTAL(9,AF12:AF15)</f>
        <v>0</v>
      </c>
      <c r="AG11" s="390">
        <f>SUBTOTAL(9,AG12:AG15)</f>
        <v>0</v>
      </c>
      <c r="AH11" s="471" t="str">
        <f>IF(COUNTIF(AH12:AH15,"@@")&gt;0,"@@","OK")</f>
        <v>OK</v>
      </c>
      <c r="AI11" s="36"/>
      <c r="AJ11" s="71"/>
      <c r="AK11" s="71"/>
      <c r="AL11" s="471" t="str">
        <f>IF(COUNTIF(AL12:AL15,"@@")&gt;0,"@@","OK")</f>
        <v>OK</v>
      </c>
      <c r="AM11" s="71"/>
      <c r="AN11" s="471" t="str">
        <f>IF(COUNTIF(AN12:AN15,"@@")&gt;0,"@@","OK")</f>
        <v>OK</v>
      </c>
      <c r="AO11" s="36"/>
      <c r="AP11" s="71"/>
    </row>
    <row r="12" spans="1:43" ht="80.099999999999994" customHeight="1">
      <c r="A12" s="115" t="str">
        <f>IF(D12="","",COUNTA($C$6:C12)-COUNTBLANK($C$6:C12)+2)</f>
        <v/>
      </c>
      <c r="B12" s="116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16" t="str">
        <f>IF(D12="","",IF(OR(D12="교육지원과"),"소방재난본부",VLOOKUP(D12,구분표!$A$3:$C$258,3,)))</f>
        <v/>
      </c>
      <c r="D12" s="173"/>
      <c r="E12" s="161"/>
      <c r="F12" s="323" t="str">
        <f>IF($E12="","",IF($E12="2추","직접입력","-"))</f>
        <v/>
      </c>
      <c r="G12" s="323" t="str">
        <f>IF($E12="","",IF($E12="2추","직접입력","-"))</f>
        <v/>
      </c>
      <c r="H12" s="161"/>
      <c r="I12" s="116" t="str">
        <f>IF(H12="","",VLOOKUP($H12,구분표!$K$3:$M$151,2,FALSE))</f>
        <v/>
      </c>
      <c r="J12" s="116" t="str">
        <f>IF(I12="","",VLOOKUP($H12,구분표!$K$3:$M$151,3,FALSE))</f>
        <v/>
      </c>
      <c r="K12" s="180"/>
      <c r="L12" s="180"/>
      <c r="M12" s="385" t="str">
        <f>IF($E12="","",IF(OR($E12="2추", $E12="1추", $E12="본예산"), "금액입력", "-"))</f>
        <v/>
      </c>
      <c r="N12" s="385" t="str">
        <f>IF($E12="", "", IF($E12="2추","금액입력", "-"))</f>
        <v/>
      </c>
      <c r="O12" s="387" t="str">
        <f t="shared" ref="O12:O15" si="24">IF($E12="","",SUM(M12:N12))</f>
        <v/>
      </c>
      <c r="P12" s="386"/>
      <c r="Q12" s="387">
        <f t="shared" ref="Q12:Q15" si="25">SUM(O12:P12)</f>
        <v>0</v>
      </c>
      <c r="R12" s="388"/>
      <c r="S12" s="389">
        <f t="shared" ref="S12:S15" si="26">SUM(O12,R12)</f>
        <v>0</v>
      </c>
      <c r="T12" s="118" t="str">
        <f t="shared" ref="T12:T15" si="27">IF(AND((Q12=0),(S12&gt;0)),"O",IF(AND((P12&lt;0),(Q12-S12&lt;0)),"O","X"))</f>
        <v>X</v>
      </c>
      <c r="U12" s="180"/>
      <c r="V12" s="172"/>
      <c r="W12" s="165"/>
      <c r="X12" s="181"/>
      <c r="Y12" s="165"/>
      <c r="Z12" s="296" t="str">
        <f t="shared" ref="Z12:Z15" si="28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f>
        <v/>
      </c>
      <c r="AA12" s="119"/>
      <c r="AB12" s="412" t="str">
        <f t="shared" si="3"/>
        <v/>
      </c>
      <c r="AC12" s="413">
        <f t="shared" ref="AC12:AC15" si="29">IFERROR(P12-AB12,0)</f>
        <v>0</v>
      </c>
      <c r="AD12" s="296" t="str">
        <f t="shared" si="5"/>
        <v>OK</v>
      </c>
      <c r="AF12" s="428" t="str">
        <f t="shared" si="6"/>
        <v/>
      </c>
      <c r="AG12" s="429">
        <f t="shared" ref="AG12:AG15" si="30">IFERROR(R12-AF12,0)</f>
        <v>0</v>
      </c>
      <c r="AH12" s="317" t="str">
        <f t="shared" si="8"/>
        <v>OK</v>
      </c>
      <c r="AI12" s="46"/>
      <c r="AJ12" s="169" t="str">
        <f t="shared" si="9"/>
        <v/>
      </c>
      <c r="AK12" s="296" t="str">
        <f t="shared" si="10"/>
        <v/>
      </c>
      <c r="AL12" s="296" t="str">
        <f t="shared" si="11"/>
        <v/>
      </c>
      <c r="AM12" s="296" t="str">
        <f t="shared" si="12"/>
        <v/>
      </c>
      <c r="AN12" s="296" t="str">
        <f>IF($AM12="","", IF($AM12="도비","OK",IF($AJ12="세입없음","OK",IF($AJ12="세입번호입력","@@",IF(VLOOKUP($AJ12,'4. 특입'!$AF$6:$AG$1000,2,FALSE)='4. 특출'!$AM12,"OK","@@")))))</f>
        <v/>
      </c>
      <c r="AO12" s="59"/>
      <c r="AP12" s="319"/>
      <c r="AQ12" s="27"/>
    </row>
    <row r="13" spans="1:43" ht="80.099999999999994" customHeight="1">
      <c r="A13" s="115" t="str">
        <f>IF(D13="","",COUNTA($C$6:C13)-COUNTBLANK($C$6:C13)+2)</f>
        <v/>
      </c>
      <c r="B13" s="116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16" t="str">
        <f>IF(D13="","",IF(OR(D13="교육지원과"),"소방재난본부",VLOOKUP(D13,구분표!$A$3:$C$258,3,)))</f>
        <v/>
      </c>
      <c r="D13" s="173"/>
      <c r="E13" s="161"/>
      <c r="F13" s="323" t="str">
        <f t="shared" ref="F13:G15" si="31">IF($E13="","",IF($E13="2추","직접입력","-"))</f>
        <v/>
      </c>
      <c r="G13" s="323" t="str">
        <f t="shared" si="31"/>
        <v/>
      </c>
      <c r="H13" s="161"/>
      <c r="I13" s="116" t="str">
        <f>IF(H13="","",VLOOKUP($H13,구분표!$K$3:$M$151,2,FALSE))</f>
        <v/>
      </c>
      <c r="J13" s="116" t="str">
        <f>IF(I13="","",VLOOKUP($H13,구분표!$K$3:$M$151,3,FALSE))</f>
        <v/>
      </c>
      <c r="K13" s="180"/>
      <c r="L13" s="180"/>
      <c r="M13" s="385" t="str">
        <f t="shared" ref="M13:M15" si="32">IF($E13="","",IF(OR($E13="2추", $E13="1추", $E13="본예산"), "금액입력", "-"))</f>
        <v/>
      </c>
      <c r="N13" s="385" t="str">
        <f t="shared" ref="N13:N15" si="33">IF($E13="", "", IF($E13="2추","금액입력", "-"))</f>
        <v/>
      </c>
      <c r="O13" s="387" t="str">
        <f t="shared" si="24"/>
        <v/>
      </c>
      <c r="P13" s="386"/>
      <c r="Q13" s="387">
        <f t="shared" si="25"/>
        <v>0</v>
      </c>
      <c r="R13" s="388"/>
      <c r="S13" s="389">
        <f t="shared" si="26"/>
        <v>0</v>
      </c>
      <c r="T13" s="118" t="str">
        <f t="shared" si="27"/>
        <v>X</v>
      </c>
      <c r="U13" s="180"/>
      <c r="V13" s="172"/>
      <c r="W13" s="165"/>
      <c r="X13" s="181"/>
      <c r="Y13" s="165"/>
      <c r="Z13" s="296" t="str">
        <f t="shared" si="28"/>
        <v/>
      </c>
      <c r="AA13" s="119"/>
      <c r="AB13" s="412" t="str">
        <f t="shared" si="3"/>
        <v/>
      </c>
      <c r="AC13" s="413">
        <f t="shared" si="29"/>
        <v>0</v>
      </c>
      <c r="AD13" s="296" t="str">
        <f t="shared" si="5"/>
        <v>OK</v>
      </c>
      <c r="AF13" s="428" t="str">
        <f t="shared" si="6"/>
        <v/>
      </c>
      <c r="AG13" s="429">
        <f t="shared" si="30"/>
        <v>0</v>
      </c>
      <c r="AH13" s="317" t="str">
        <f t="shared" si="8"/>
        <v>OK</v>
      </c>
      <c r="AI13" s="46"/>
      <c r="AJ13" s="169" t="str">
        <f t="shared" si="9"/>
        <v/>
      </c>
      <c r="AK13" s="296" t="str">
        <f t="shared" si="10"/>
        <v/>
      </c>
      <c r="AL13" s="296" t="str">
        <f t="shared" si="11"/>
        <v/>
      </c>
      <c r="AM13" s="296" t="str">
        <f t="shared" si="12"/>
        <v/>
      </c>
      <c r="AN13" s="296" t="str">
        <f>IF($AM13="","", IF($AM13="도비","OK",IF($AJ13="세입없음","OK",IF($AJ13="세입번호입력","@@",IF(VLOOKUP($AJ13,'4. 특입'!$AF$6:$AG$1000,2,FALSE)='4. 특출'!$AM13,"OK","@@")))))</f>
        <v/>
      </c>
      <c r="AO13" s="59"/>
      <c r="AP13" s="319"/>
      <c r="AQ13" s="27"/>
    </row>
    <row r="14" spans="1:43" ht="80.099999999999994" customHeight="1">
      <c r="A14" s="115" t="str">
        <f>IF(D14="","",COUNTA($C$6:C14)-COUNTBLANK($C$6:C14)+2)</f>
        <v/>
      </c>
      <c r="B14" s="116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16" t="str">
        <f>IF(D14="","",IF(OR(D14="교육지원과"),"소방재난본부",VLOOKUP(D14,구분표!$A$3:$C$258,3,)))</f>
        <v/>
      </c>
      <c r="D14" s="173"/>
      <c r="E14" s="161"/>
      <c r="F14" s="323" t="str">
        <f t="shared" si="31"/>
        <v/>
      </c>
      <c r="G14" s="323" t="str">
        <f t="shared" si="31"/>
        <v/>
      </c>
      <c r="H14" s="161"/>
      <c r="I14" s="116" t="str">
        <f>IF(H14="","",VLOOKUP($H14,구분표!$K$3:$M$151,2,FALSE))</f>
        <v/>
      </c>
      <c r="J14" s="116" t="str">
        <f>IF(I14="","",VLOOKUP($H14,구분표!$K$3:$M$151,3,FALSE))</f>
        <v/>
      </c>
      <c r="K14" s="180"/>
      <c r="L14" s="180"/>
      <c r="M14" s="385" t="str">
        <f t="shared" si="32"/>
        <v/>
      </c>
      <c r="N14" s="385" t="str">
        <f t="shared" si="33"/>
        <v/>
      </c>
      <c r="O14" s="387" t="str">
        <f t="shared" si="24"/>
        <v/>
      </c>
      <c r="P14" s="386"/>
      <c r="Q14" s="387">
        <f t="shared" si="25"/>
        <v>0</v>
      </c>
      <c r="R14" s="388"/>
      <c r="S14" s="389">
        <f t="shared" si="26"/>
        <v>0</v>
      </c>
      <c r="T14" s="118" t="str">
        <f t="shared" si="27"/>
        <v>X</v>
      </c>
      <c r="U14" s="180"/>
      <c r="V14" s="172"/>
      <c r="W14" s="165"/>
      <c r="X14" s="181"/>
      <c r="Y14" s="165"/>
      <c r="Z14" s="296" t="str">
        <f t="shared" si="28"/>
        <v/>
      </c>
      <c r="AA14" s="119"/>
      <c r="AB14" s="412" t="str">
        <f t="shared" si="3"/>
        <v/>
      </c>
      <c r="AC14" s="413">
        <f t="shared" si="29"/>
        <v>0</v>
      </c>
      <c r="AD14" s="296" t="str">
        <f t="shared" si="5"/>
        <v>OK</v>
      </c>
      <c r="AF14" s="428" t="str">
        <f t="shared" si="6"/>
        <v/>
      </c>
      <c r="AG14" s="429">
        <f t="shared" si="30"/>
        <v>0</v>
      </c>
      <c r="AH14" s="317" t="str">
        <f t="shared" si="8"/>
        <v>OK</v>
      </c>
      <c r="AI14" s="46"/>
      <c r="AJ14" s="169" t="str">
        <f t="shared" si="9"/>
        <v/>
      </c>
      <c r="AK14" s="296" t="str">
        <f t="shared" si="10"/>
        <v/>
      </c>
      <c r="AL14" s="296" t="str">
        <f t="shared" si="11"/>
        <v/>
      </c>
      <c r="AM14" s="296" t="str">
        <f t="shared" si="12"/>
        <v/>
      </c>
      <c r="AN14" s="296" t="str">
        <f>IF($AM14="","", IF($AM14="도비","OK",IF($AJ14="세입없음","OK",IF($AJ14="세입번호입력","@@",IF(VLOOKUP($AJ14,'4. 특입'!$AF$6:$AG$1000,2,FALSE)='4. 특출'!$AM14,"OK","@@")))))</f>
        <v/>
      </c>
      <c r="AO14" s="59"/>
      <c r="AP14" s="319"/>
      <c r="AQ14" s="27"/>
    </row>
    <row r="15" spans="1:43" ht="80.099999999999994" customHeight="1">
      <c r="A15" s="115" t="str">
        <f>IF(D15="","",COUNTA($C$6:C15)-COUNTBLANK($C$6:C15)+2)</f>
        <v/>
      </c>
      <c r="B15" s="116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16" t="str">
        <f>IF(D15="","",IF(OR(D15="교육지원과"),"소방재난본부",VLOOKUP(D15,구분표!$A$3:$C$258,3,)))</f>
        <v/>
      </c>
      <c r="D15" s="173"/>
      <c r="E15" s="161"/>
      <c r="F15" s="323" t="str">
        <f t="shared" si="31"/>
        <v/>
      </c>
      <c r="G15" s="323" t="str">
        <f t="shared" si="31"/>
        <v/>
      </c>
      <c r="H15" s="161"/>
      <c r="I15" s="116" t="str">
        <f>IF(H15="","",VLOOKUP($H15,구분표!$K$3:$M$151,2,FALSE))</f>
        <v/>
      </c>
      <c r="J15" s="116" t="str">
        <f>IF(I15="","",VLOOKUP($H15,구분표!$K$3:$M$151,3,FALSE))</f>
        <v/>
      </c>
      <c r="K15" s="180"/>
      <c r="L15" s="180"/>
      <c r="M15" s="385" t="str">
        <f t="shared" si="32"/>
        <v/>
      </c>
      <c r="N15" s="385" t="str">
        <f t="shared" si="33"/>
        <v/>
      </c>
      <c r="O15" s="387" t="str">
        <f t="shared" si="24"/>
        <v/>
      </c>
      <c r="P15" s="386"/>
      <c r="Q15" s="387">
        <f t="shared" si="25"/>
        <v>0</v>
      </c>
      <c r="R15" s="388"/>
      <c r="S15" s="389">
        <f t="shared" si="26"/>
        <v>0</v>
      </c>
      <c r="T15" s="118" t="str">
        <f t="shared" si="27"/>
        <v>X</v>
      </c>
      <c r="U15" s="180"/>
      <c r="V15" s="172"/>
      <c r="W15" s="165"/>
      <c r="X15" s="181"/>
      <c r="Y15" s="165"/>
      <c r="Z15" s="296" t="str">
        <f t="shared" si="28"/>
        <v/>
      </c>
      <c r="AA15" s="119"/>
      <c r="AB15" s="412" t="str">
        <f t="shared" si="3"/>
        <v/>
      </c>
      <c r="AC15" s="413">
        <f t="shared" si="29"/>
        <v>0</v>
      </c>
      <c r="AD15" s="296" t="str">
        <f t="shared" si="5"/>
        <v>OK</v>
      </c>
      <c r="AF15" s="428" t="str">
        <f t="shared" si="6"/>
        <v/>
      </c>
      <c r="AG15" s="429">
        <f t="shared" si="30"/>
        <v>0</v>
      </c>
      <c r="AH15" s="317" t="str">
        <f t="shared" si="8"/>
        <v>OK</v>
      </c>
      <c r="AI15" s="46"/>
      <c r="AJ15" s="169" t="str">
        <f t="shared" si="9"/>
        <v/>
      </c>
      <c r="AK15" s="296" t="str">
        <f t="shared" si="10"/>
        <v/>
      </c>
      <c r="AL15" s="296" t="str">
        <f t="shared" si="11"/>
        <v/>
      </c>
      <c r="AM15" s="296" t="str">
        <f t="shared" si="12"/>
        <v/>
      </c>
      <c r="AN15" s="296" t="str">
        <f>IF($AM15="","", IF($AM15="도비","OK",IF($AJ15="세입없음","OK",IF($AJ15="세입번호입력","@@",IF(VLOOKUP($AJ15,'4. 특입'!$AF$6:$AG$1000,2,FALSE)='4. 특출'!$AM15,"OK","@@")))))</f>
        <v/>
      </c>
      <c r="AO15" s="59"/>
      <c r="AP15" s="319"/>
      <c r="AQ15" s="27"/>
    </row>
    <row r="16" spans="1:43" ht="60" customHeight="1">
      <c r="A16" s="125"/>
      <c r="B16" s="666" t="s">
        <v>762</v>
      </c>
      <c r="C16" s="666"/>
      <c r="D16" s="666"/>
      <c r="E16" s="666"/>
      <c r="F16" s="666"/>
      <c r="G16" s="666"/>
      <c r="H16" s="126"/>
      <c r="I16" s="126"/>
      <c r="J16" s="126"/>
      <c r="K16" s="126"/>
      <c r="L16" s="295" t="str">
        <f>SUBTOTAL(3,L17:L20)&amp;"건"</f>
        <v>0건</v>
      </c>
      <c r="M16" s="403">
        <f t="shared" ref="M16:S16" si="34">SUBTOTAL(9,M17:M20)</f>
        <v>0</v>
      </c>
      <c r="N16" s="403">
        <f t="shared" si="34"/>
        <v>0</v>
      </c>
      <c r="O16" s="403">
        <f t="shared" si="34"/>
        <v>0</v>
      </c>
      <c r="P16" s="403">
        <f t="shared" si="34"/>
        <v>0</v>
      </c>
      <c r="Q16" s="403">
        <f t="shared" si="34"/>
        <v>0</v>
      </c>
      <c r="R16" s="403">
        <f t="shared" si="34"/>
        <v>0</v>
      </c>
      <c r="S16" s="403">
        <f t="shared" si="34"/>
        <v>0</v>
      </c>
      <c r="T16" s="125"/>
      <c r="U16" s="127"/>
      <c r="V16" s="127"/>
      <c r="W16" s="128"/>
      <c r="X16" s="129"/>
      <c r="Y16" s="129"/>
      <c r="Z16" s="71"/>
      <c r="AA16" s="43"/>
      <c r="AB16" s="390">
        <f>SUBTOTAL(9,AB17:AB20)</f>
        <v>0</v>
      </c>
      <c r="AC16" s="390">
        <f>SUBTOTAL(9,AC17:AC20)</f>
        <v>0</v>
      </c>
      <c r="AD16" s="471" t="str">
        <f>IF(COUNTIF(AD17:AD20,"@@")&gt;0,"@@","OK")</f>
        <v>OK</v>
      </c>
      <c r="AF16" s="390">
        <f>SUBTOTAL(9,AF17:AF20)</f>
        <v>0</v>
      </c>
      <c r="AG16" s="390">
        <f>SUBTOTAL(9,AG17:AG20)</f>
        <v>0</v>
      </c>
      <c r="AH16" s="471" t="str">
        <f>IF(COUNTIF(AH17:AH20,"@@")&gt;0,"@@","OK")</f>
        <v>OK</v>
      </c>
      <c r="AI16" s="36"/>
      <c r="AJ16" s="71"/>
      <c r="AK16" s="71"/>
      <c r="AL16" s="471" t="str">
        <f>IF(COUNTIF(AL17:AL20,"@@")&gt;0,"@@","OK")</f>
        <v>OK</v>
      </c>
      <c r="AM16" s="71"/>
      <c r="AN16" s="471" t="str">
        <f>IF(COUNTIF(AN17:AN20,"@@")&gt;0,"@@","OK")</f>
        <v>OK</v>
      </c>
      <c r="AO16" s="36"/>
      <c r="AP16" s="71"/>
    </row>
    <row r="17" spans="1:43" ht="80.099999999999994" customHeight="1">
      <c r="A17" s="115" t="str">
        <f>IF(D17="","",COUNTA($C$6:C17)-COUNTBLANK($C$6:C17)+3)</f>
        <v/>
      </c>
      <c r="B17" s="116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16" t="str">
        <f>IF(D17="","",IF(OR(D17="교육지원과"),"소방재난본부",VLOOKUP(D17,구분표!$A$3:$C$258,3,)))</f>
        <v/>
      </c>
      <c r="D17" s="173"/>
      <c r="E17" s="161"/>
      <c r="F17" s="323" t="str">
        <f>IF($E17="","",IF($E17="2추","직접입력","-"))</f>
        <v/>
      </c>
      <c r="G17" s="323" t="str">
        <f>IF($E17="","",IF($E17="2추","직접입력","-"))</f>
        <v/>
      </c>
      <c r="H17" s="161"/>
      <c r="I17" s="116" t="str">
        <f>IF(H17="","",VLOOKUP($H17,구분표!$K$3:$M$151,2,FALSE))</f>
        <v/>
      </c>
      <c r="J17" s="116" t="str">
        <f>IF(I17="","",VLOOKUP($H17,구분표!$K$3:$M$151,3,FALSE))</f>
        <v/>
      </c>
      <c r="K17" s="180"/>
      <c r="L17" s="180"/>
      <c r="M17" s="385" t="str">
        <f>IF($E17="","",IF(OR($E17="2추", $E17="1추", $E17="본예산"), "금액입력", "-"))</f>
        <v/>
      </c>
      <c r="N17" s="385" t="str">
        <f>IF($E17="", "", IF($E17="2추","금액입력", "-"))</f>
        <v/>
      </c>
      <c r="O17" s="387" t="str">
        <f t="shared" ref="O17:O20" si="35">IF($E17="","",SUM(M17:N17))</f>
        <v/>
      </c>
      <c r="P17" s="386"/>
      <c r="Q17" s="387">
        <f t="shared" ref="Q17:Q20" si="36">SUM(O17:P17)</f>
        <v>0</v>
      </c>
      <c r="R17" s="388"/>
      <c r="S17" s="389">
        <f t="shared" ref="S17:S20" si="37">SUM(O17,R17)</f>
        <v>0</v>
      </c>
      <c r="T17" s="118" t="str">
        <f t="shared" ref="T17:T20" si="38">IF(AND((Q17=0),(S17&gt;0)),"O",IF(AND((P17&lt;0),(Q17-S17&lt;0)),"O","X"))</f>
        <v>X</v>
      </c>
      <c r="U17" s="180"/>
      <c r="V17" s="172"/>
      <c r="W17" s="165"/>
      <c r="X17" s="181"/>
      <c r="Y17" s="165"/>
      <c r="Z17" s="296" t="str">
        <f t="shared" ref="Z17:Z20" si="39">IF($K17="","",IF(COUNT(FIND("국비/",$K17)),"국도비",IF(COUNT(FIND("균특/",$K17)),"국도비",IF(COUNT(FIND("기금/",$K17)),"국도비",IF(COUNT(FIND("교부세/",$K17)),"국도비",IF(COUNT(FIND("소방안전/",$K17)),"국도비",IF(COUNT(FIND("소멸대응/",$K17)),"국도비","도비")))))))</f>
        <v/>
      </c>
      <c r="AA17" s="119"/>
      <c r="AB17" s="412" t="str">
        <f t="shared" si="3"/>
        <v/>
      </c>
      <c r="AC17" s="413">
        <f t="shared" ref="AC17:AC20" si="40">IFERROR(P17-AB17,0)</f>
        <v>0</v>
      </c>
      <c r="AD17" s="296" t="str">
        <f t="shared" si="5"/>
        <v>OK</v>
      </c>
      <c r="AF17" s="428" t="str">
        <f t="shared" si="6"/>
        <v/>
      </c>
      <c r="AG17" s="429">
        <f t="shared" ref="AG17:AG20" si="41">IFERROR(R17-AF17,0)</f>
        <v>0</v>
      </c>
      <c r="AH17" s="317" t="str">
        <f t="shared" si="8"/>
        <v>OK</v>
      </c>
      <c r="AI17" s="46"/>
      <c r="AJ17" s="169" t="str">
        <f t="shared" si="9"/>
        <v/>
      </c>
      <c r="AK17" s="296" t="str">
        <f t="shared" si="10"/>
        <v/>
      </c>
      <c r="AL17" s="296" t="str">
        <f t="shared" si="11"/>
        <v/>
      </c>
      <c r="AM17" s="296" t="str">
        <f t="shared" si="12"/>
        <v/>
      </c>
      <c r="AN17" s="296" t="str">
        <f>IF($AM17="","", IF($AM17="도비","OK",IF($AJ17="세입없음","OK",IF($AJ17="세입번호입력","@@",IF(VLOOKUP($AJ17,'4. 특입'!$AF$6:$AG$1000,2,FALSE)='4. 특출'!$AM17,"OK","@@")))))</f>
        <v/>
      </c>
      <c r="AO17" s="59"/>
      <c r="AP17" s="319"/>
      <c r="AQ17" s="27"/>
    </row>
    <row r="18" spans="1:43" ht="80.099999999999994" customHeight="1">
      <c r="A18" s="115" t="str">
        <f>IF(D18="","",COUNTA($C$6:C18)-COUNTBLANK($C$6:C18)+3)</f>
        <v/>
      </c>
      <c r="B18" s="116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16" t="str">
        <f>IF(D18="","",IF(OR(D18="교육지원과"),"소방재난본부",VLOOKUP(D18,구분표!$A$3:$C$258,3,)))</f>
        <v/>
      </c>
      <c r="D18" s="173"/>
      <c r="E18" s="161"/>
      <c r="F18" s="323" t="str">
        <f t="shared" ref="F18:G20" si="42">IF($E18="","",IF($E18="2추","직접입력","-"))</f>
        <v/>
      </c>
      <c r="G18" s="323" t="str">
        <f t="shared" si="42"/>
        <v/>
      </c>
      <c r="H18" s="161"/>
      <c r="I18" s="116" t="str">
        <f>IF(H18="","",VLOOKUP($H18,구분표!$K$3:$M$151,2,FALSE))</f>
        <v/>
      </c>
      <c r="J18" s="116" t="str">
        <f>IF(I18="","",VLOOKUP($H18,구분표!$K$3:$M$151,3,FALSE))</f>
        <v/>
      </c>
      <c r="K18" s="180"/>
      <c r="L18" s="180"/>
      <c r="M18" s="385" t="str">
        <f t="shared" ref="M18:M20" si="43">IF($E18="","",IF(OR($E18="2추", $E18="1추", $E18="본예산"), "금액입력", "-"))</f>
        <v/>
      </c>
      <c r="N18" s="385" t="str">
        <f t="shared" ref="N18:N20" si="44">IF($E18="", "", IF($E18="2추","금액입력", "-"))</f>
        <v/>
      </c>
      <c r="O18" s="387" t="str">
        <f t="shared" si="35"/>
        <v/>
      </c>
      <c r="P18" s="386"/>
      <c r="Q18" s="387">
        <f t="shared" si="36"/>
        <v>0</v>
      </c>
      <c r="R18" s="388"/>
      <c r="S18" s="389">
        <f t="shared" si="37"/>
        <v>0</v>
      </c>
      <c r="T18" s="118" t="str">
        <f t="shared" si="38"/>
        <v>X</v>
      </c>
      <c r="U18" s="180"/>
      <c r="V18" s="172"/>
      <c r="W18" s="165"/>
      <c r="X18" s="181"/>
      <c r="Y18" s="165"/>
      <c r="Z18" s="296" t="str">
        <f t="shared" si="39"/>
        <v/>
      </c>
      <c r="AA18" s="119"/>
      <c r="AB18" s="412" t="str">
        <f t="shared" si="3"/>
        <v/>
      </c>
      <c r="AC18" s="413">
        <f t="shared" si="40"/>
        <v>0</v>
      </c>
      <c r="AD18" s="296" t="str">
        <f t="shared" si="5"/>
        <v>OK</v>
      </c>
      <c r="AF18" s="428" t="str">
        <f t="shared" si="6"/>
        <v/>
      </c>
      <c r="AG18" s="429">
        <f t="shared" si="41"/>
        <v>0</v>
      </c>
      <c r="AH18" s="317" t="str">
        <f t="shared" si="8"/>
        <v>OK</v>
      </c>
      <c r="AI18" s="46"/>
      <c r="AJ18" s="169" t="str">
        <f t="shared" si="9"/>
        <v/>
      </c>
      <c r="AK18" s="296" t="str">
        <f t="shared" si="10"/>
        <v/>
      </c>
      <c r="AL18" s="296" t="str">
        <f t="shared" si="11"/>
        <v/>
      </c>
      <c r="AM18" s="296" t="str">
        <f t="shared" si="12"/>
        <v/>
      </c>
      <c r="AN18" s="296" t="str">
        <f>IF($AM18="","", IF($AM18="도비","OK",IF($AJ18="세입없음","OK",IF($AJ18="세입번호입력","@@",IF(VLOOKUP($AJ18,'4. 특입'!$AF$6:$AG$1000,2,FALSE)='4. 특출'!$AM18,"OK","@@")))))</f>
        <v/>
      </c>
      <c r="AO18" s="59"/>
      <c r="AP18" s="319"/>
      <c r="AQ18" s="27"/>
    </row>
    <row r="19" spans="1:43" ht="80.099999999999994" customHeight="1">
      <c r="A19" s="115" t="str">
        <f>IF(D19="","",COUNTA($C$6:C19)-COUNTBLANK($C$6:C19)+3)</f>
        <v/>
      </c>
      <c r="B19" s="116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16" t="str">
        <f>IF(D19="","",IF(OR(D19="교육지원과"),"소방재난본부",VLOOKUP(D19,구분표!$A$3:$C$258,3,)))</f>
        <v/>
      </c>
      <c r="D19" s="173"/>
      <c r="E19" s="161"/>
      <c r="F19" s="323" t="str">
        <f t="shared" si="42"/>
        <v/>
      </c>
      <c r="G19" s="323" t="str">
        <f t="shared" si="42"/>
        <v/>
      </c>
      <c r="H19" s="161"/>
      <c r="I19" s="116" t="str">
        <f>IF(H19="","",VLOOKUP($H19,구분표!$K$3:$M$151,2,FALSE))</f>
        <v/>
      </c>
      <c r="J19" s="116" t="str">
        <f>IF(I19="","",VLOOKUP($H19,구분표!$K$3:$M$151,3,FALSE))</f>
        <v/>
      </c>
      <c r="K19" s="180"/>
      <c r="L19" s="180"/>
      <c r="M19" s="385" t="str">
        <f t="shared" si="43"/>
        <v/>
      </c>
      <c r="N19" s="385" t="str">
        <f t="shared" si="44"/>
        <v/>
      </c>
      <c r="O19" s="387" t="str">
        <f t="shared" si="35"/>
        <v/>
      </c>
      <c r="P19" s="386"/>
      <c r="Q19" s="387">
        <f t="shared" si="36"/>
        <v>0</v>
      </c>
      <c r="R19" s="388"/>
      <c r="S19" s="389">
        <f t="shared" si="37"/>
        <v>0</v>
      </c>
      <c r="T19" s="118" t="str">
        <f t="shared" si="38"/>
        <v>X</v>
      </c>
      <c r="U19" s="180"/>
      <c r="V19" s="172"/>
      <c r="W19" s="165"/>
      <c r="X19" s="181"/>
      <c r="Y19" s="165"/>
      <c r="Z19" s="296" t="str">
        <f t="shared" si="39"/>
        <v/>
      </c>
      <c r="AA19" s="119"/>
      <c r="AB19" s="412" t="str">
        <f t="shared" si="3"/>
        <v/>
      </c>
      <c r="AC19" s="413">
        <f t="shared" si="40"/>
        <v>0</v>
      </c>
      <c r="AD19" s="296" t="str">
        <f t="shared" si="5"/>
        <v>OK</v>
      </c>
      <c r="AF19" s="428" t="str">
        <f t="shared" si="6"/>
        <v/>
      </c>
      <c r="AG19" s="429">
        <f t="shared" si="41"/>
        <v>0</v>
      </c>
      <c r="AH19" s="317" t="str">
        <f t="shared" si="8"/>
        <v>OK</v>
      </c>
      <c r="AI19" s="46"/>
      <c r="AJ19" s="169" t="str">
        <f t="shared" si="9"/>
        <v/>
      </c>
      <c r="AK19" s="296" t="str">
        <f t="shared" si="10"/>
        <v/>
      </c>
      <c r="AL19" s="296" t="str">
        <f t="shared" si="11"/>
        <v/>
      </c>
      <c r="AM19" s="296" t="str">
        <f t="shared" si="12"/>
        <v/>
      </c>
      <c r="AN19" s="296" t="str">
        <f>IF($AM19="","", IF($AM19="도비","OK",IF($AJ19="세입없음","OK",IF($AJ19="세입번호입력","@@",IF(VLOOKUP($AJ19,'4. 특입'!$AF$6:$AG$1000,2,FALSE)='4. 특출'!$AM19,"OK","@@")))))</f>
        <v/>
      </c>
      <c r="AO19" s="59"/>
      <c r="AP19" s="319"/>
    </row>
    <row r="20" spans="1:43" ht="80.099999999999994" customHeight="1">
      <c r="A20" s="115" t="str">
        <f>IF(D20="","",COUNTA($C$6:C20)-COUNTBLANK($C$6:C20)+3)</f>
        <v/>
      </c>
      <c r="B20" s="116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16" t="str">
        <f>IF(D20="","",IF(OR(D20="교육지원과"),"소방재난본부",VLOOKUP(D20,구분표!$A$3:$C$258,3,)))</f>
        <v/>
      </c>
      <c r="D20" s="173"/>
      <c r="E20" s="161"/>
      <c r="F20" s="323" t="str">
        <f t="shared" si="42"/>
        <v/>
      </c>
      <c r="G20" s="323" t="str">
        <f t="shared" si="42"/>
        <v/>
      </c>
      <c r="H20" s="161"/>
      <c r="I20" s="116" t="str">
        <f>IF(H20="","",VLOOKUP($H20,구분표!$K$3:$M$151,2,FALSE))</f>
        <v/>
      </c>
      <c r="J20" s="116" t="str">
        <f>IF(I20="","",VLOOKUP($H20,구분표!$K$3:$M$151,3,FALSE))</f>
        <v/>
      </c>
      <c r="K20" s="180"/>
      <c r="L20" s="180"/>
      <c r="M20" s="385" t="str">
        <f t="shared" si="43"/>
        <v/>
      </c>
      <c r="N20" s="385" t="str">
        <f t="shared" si="44"/>
        <v/>
      </c>
      <c r="O20" s="387" t="str">
        <f t="shared" si="35"/>
        <v/>
      </c>
      <c r="P20" s="386"/>
      <c r="Q20" s="387">
        <f t="shared" si="36"/>
        <v>0</v>
      </c>
      <c r="R20" s="388"/>
      <c r="S20" s="389">
        <f t="shared" si="37"/>
        <v>0</v>
      </c>
      <c r="T20" s="118" t="str">
        <f t="shared" si="38"/>
        <v>X</v>
      </c>
      <c r="U20" s="180"/>
      <c r="V20" s="172"/>
      <c r="W20" s="165"/>
      <c r="X20" s="181"/>
      <c r="Y20" s="165"/>
      <c r="Z20" s="296" t="str">
        <f t="shared" si="39"/>
        <v/>
      </c>
      <c r="AA20" s="119"/>
      <c r="AB20" s="412" t="str">
        <f t="shared" si="3"/>
        <v/>
      </c>
      <c r="AC20" s="413">
        <f t="shared" si="40"/>
        <v>0</v>
      </c>
      <c r="AD20" s="296" t="str">
        <f t="shared" si="5"/>
        <v>OK</v>
      </c>
      <c r="AF20" s="428" t="str">
        <f t="shared" si="6"/>
        <v/>
      </c>
      <c r="AG20" s="429">
        <f t="shared" si="41"/>
        <v>0</v>
      </c>
      <c r="AH20" s="317" t="str">
        <f t="shared" si="8"/>
        <v>OK</v>
      </c>
      <c r="AI20" s="46"/>
      <c r="AJ20" s="169" t="str">
        <f t="shared" si="9"/>
        <v/>
      </c>
      <c r="AK20" s="296" t="str">
        <f t="shared" si="10"/>
        <v/>
      </c>
      <c r="AL20" s="296" t="str">
        <f t="shared" si="11"/>
        <v/>
      </c>
      <c r="AM20" s="296" t="str">
        <f t="shared" si="12"/>
        <v/>
      </c>
      <c r="AN20" s="296" t="str">
        <f>IF($AM20="","", IF($AM20="도비","OK",IF($AJ20="세입없음","OK",IF($AJ20="세입번호입력","@@",IF(VLOOKUP($AJ20,'4. 특입'!$AF$6:$AG$1000,2,FALSE)='4. 특출'!$AM20,"OK","@@")))))</f>
        <v/>
      </c>
      <c r="AO20" s="59"/>
      <c r="AP20" s="319"/>
    </row>
    <row r="21" spans="1:43" ht="60" customHeight="1">
      <c r="A21" s="125"/>
      <c r="B21" s="666" t="s">
        <v>763</v>
      </c>
      <c r="C21" s="666"/>
      <c r="D21" s="666"/>
      <c r="E21" s="666"/>
      <c r="F21" s="666"/>
      <c r="G21" s="666"/>
      <c r="H21" s="126"/>
      <c r="I21" s="126"/>
      <c r="J21" s="126"/>
      <c r="K21" s="126"/>
      <c r="L21" s="295" t="str">
        <f>SUBTOTAL(3,L22:L25)&amp;"건"</f>
        <v>0건</v>
      </c>
      <c r="M21" s="403">
        <f t="shared" ref="M21:S21" si="45">SUBTOTAL(9,M22:M25)</f>
        <v>0</v>
      </c>
      <c r="N21" s="403">
        <f t="shared" si="45"/>
        <v>0</v>
      </c>
      <c r="O21" s="403">
        <f t="shared" si="45"/>
        <v>0</v>
      </c>
      <c r="P21" s="403">
        <f t="shared" si="45"/>
        <v>0</v>
      </c>
      <c r="Q21" s="403">
        <f t="shared" si="45"/>
        <v>0</v>
      </c>
      <c r="R21" s="403">
        <f t="shared" si="45"/>
        <v>0</v>
      </c>
      <c r="S21" s="403">
        <f t="shared" si="45"/>
        <v>0</v>
      </c>
      <c r="T21" s="125"/>
      <c r="U21" s="127"/>
      <c r="V21" s="127"/>
      <c r="W21" s="128"/>
      <c r="X21" s="129"/>
      <c r="Y21" s="129"/>
      <c r="Z21" s="71"/>
      <c r="AA21" s="43"/>
      <c r="AB21" s="390">
        <f>SUBTOTAL(9,AB22:AB25)</f>
        <v>0</v>
      </c>
      <c r="AC21" s="390">
        <f>SUBTOTAL(9,AC22:AC25)</f>
        <v>0</v>
      </c>
      <c r="AD21" s="471" t="str">
        <f>IF(COUNTIF(AD22:AD25,"@@")&gt;0,"@@","OK")</f>
        <v>OK</v>
      </c>
      <c r="AF21" s="390">
        <f>SUBTOTAL(9,AF22:AF25)</f>
        <v>0</v>
      </c>
      <c r="AG21" s="390">
        <f>SUBTOTAL(9,AG22:AG25)</f>
        <v>0</v>
      </c>
      <c r="AH21" s="471" t="str">
        <f>IF(COUNTIF(AH22:AH25,"@@")&gt;0,"@@","OK")</f>
        <v>OK</v>
      </c>
      <c r="AI21" s="36"/>
      <c r="AJ21" s="71"/>
      <c r="AK21" s="71"/>
      <c r="AL21" s="471" t="str">
        <f>IF(COUNTIF(AL22:AL25,"@@")&gt;0,"@@","OK")</f>
        <v>OK</v>
      </c>
      <c r="AM21" s="71"/>
      <c r="AN21" s="471" t="str">
        <f>IF(COUNTIF(AN22:AN25,"@@")&gt;0,"@@","OK")</f>
        <v>OK</v>
      </c>
      <c r="AO21" s="36"/>
      <c r="AP21" s="71"/>
    </row>
    <row r="22" spans="1:43" ht="80.099999999999994" customHeight="1">
      <c r="A22" s="115" t="str">
        <f>IF(D22="","",COUNTA($C$6:C22)-COUNTBLANK($C$6:C22)+4)</f>
        <v/>
      </c>
      <c r="B22" s="116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16" t="str">
        <f>IF(D22="","",IF(OR(D22="교육지원과"),"소방재난본부",VLOOKUP(D22,구분표!$A$3:$C$258,3,)))</f>
        <v/>
      </c>
      <c r="D22" s="173"/>
      <c r="E22" s="161"/>
      <c r="F22" s="323" t="str">
        <f>IF($E22="","",IF($E22="2추","직접입력","-"))</f>
        <v/>
      </c>
      <c r="G22" s="323" t="str">
        <f>IF($E22="","",IF($E22="2추","직접입력","-"))</f>
        <v/>
      </c>
      <c r="H22" s="161"/>
      <c r="I22" s="116" t="str">
        <f>IF(H22="","",VLOOKUP($H22,구분표!$K$3:$M$151,2,FALSE))</f>
        <v/>
      </c>
      <c r="J22" s="116" t="str">
        <f>IF(I22="","",VLOOKUP($H22,구분표!$K$3:$M$151,3,FALSE))</f>
        <v/>
      </c>
      <c r="K22" s="180"/>
      <c r="L22" s="180"/>
      <c r="M22" s="385" t="str">
        <f>IF($E22="","",IF(OR($E22="2추", $E22="1추", $E22="본예산"), "금액입력", "-"))</f>
        <v/>
      </c>
      <c r="N22" s="385" t="str">
        <f>IF($E22="", "", IF($E22="2추","금액입력", "-"))</f>
        <v/>
      </c>
      <c r="O22" s="387" t="str">
        <f t="shared" ref="O22:O25" si="46">IF($E22="","",SUM(M22:N22))</f>
        <v/>
      </c>
      <c r="P22" s="386"/>
      <c r="Q22" s="387">
        <f t="shared" ref="Q22:Q25" si="47">SUM(O22:P22)</f>
        <v>0</v>
      </c>
      <c r="R22" s="388"/>
      <c r="S22" s="389">
        <f t="shared" ref="S22:S25" si="48">SUM(O22,R22)</f>
        <v>0</v>
      </c>
      <c r="T22" s="118" t="str">
        <f t="shared" ref="T22:T25" si="49">IF(AND((Q22=0),(S22&gt;0)),"O",IF(AND((P22&lt;0),(Q22-S22&lt;0)),"O","X"))</f>
        <v>X</v>
      </c>
      <c r="U22" s="180"/>
      <c r="V22" s="172"/>
      <c r="W22" s="165"/>
      <c r="X22" s="181"/>
      <c r="Y22" s="165"/>
      <c r="Z22" s="296" t="str">
        <f t="shared" ref="Z22:Z25" si="50">IF($K22="","",IF(COUNT(FIND("국비/",$K22)),"국도비",IF(COUNT(FIND("균특/",$K22)),"국도비",IF(COUNT(FIND("기금/",$K22)),"국도비",IF(COUNT(FIND("교부세/",$K22)),"국도비",IF(COUNT(FIND("소방안전/",$K22)),"국도비",IF(COUNT(FIND("소멸대응/",$K22)),"국도비","도비")))))))</f>
        <v/>
      </c>
      <c r="AA22" s="119"/>
      <c r="AB22" s="412" t="str">
        <f t="shared" si="3"/>
        <v/>
      </c>
      <c r="AC22" s="413">
        <f t="shared" ref="AC22:AC25" si="51">IFERROR(P22-AB22,0)</f>
        <v>0</v>
      </c>
      <c r="AD22" s="296" t="str">
        <f t="shared" si="5"/>
        <v>OK</v>
      </c>
      <c r="AF22" s="428" t="str">
        <f t="shared" si="6"/>
        <v/>
      </c>
      <c r="AG22" s="429">
        <f t="shared" ref="AG22:AG25" si="52">IFERROR(R22-AF22,0)</f>
        <v>0</v>
      </c>
      <c r="AH22" s="317" t="str">
        <f t="shared" si="8"/>
        <v>OK</v>
      </c>
      <c r="AI22" s="46"/>
      <c r="AJ22" s="169" t="str">
        <f t="shared" si="9"/>
        <v/>
      </c>
      <c r="AK22" s="296" t="str">
        <f t="shared" si="10"/>
        <v/>
      </c>
      <c r="AL22" s="296" t="str">
        <f t="shared" si="11"/>
        <v/>
      </c>
      <c r="AM22" s="296" t="str">
        <f t="shared" si="12"/>
        <v/>
      </c>
      <c r="AN22" s="296" t="str">
        <f>IF($AM22="","", IF($AM22="도비","OK",IF($AJ22="세입없음","OK",IF($AJ22="세입번호입력","@@",IF(VLOOKUP($AJ22,'4. 특입'!$AF$6:$AG$1000,2,FALSE)='4. 특출'!$AM22,"OK","@@")))))</f>
        <v/>
      </c>
      <c r="AO22" s="59"/>
      <c r="AP22" s="319"/>
      <c r="AQ22" s="27"/>
    </row>
    <row r="23" spans="1:43" ht="80.099999999999994" customHeight="1">
      <c r="A23" s="115" t="str">
        <f>IF(D23="","",COUNTA($C$6:C23)-COUNTBLANK($C$6:C23)+4)</f>
        <v/>
      </c>
      <c r="B23" s="116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16" t="str">
        <f>IF(D23="","",IF(OR(D23="교육지원과"),"소방재난본부",VLOOKUP(D23,구분표!$A$3:$C$258,3,)))</f>
        <v/>
      </c>
      <c r="D23" s="173"/>
      <c r="E23" s="161"/>
      <c r="F23" s="323" t="str">
        <f t="shared" ref="F23:G25" si="53">IF($E23="","",IF($E23="2추","직접입력","-"))</f>
        <v/>
      </c>
      <c r="G23" s="323" t="str">
        <f t="shared" si="53"/>
        <v/>
      </c>
      <c r="H23" s="161"/>
      <c r="I23" s="116" t="str">
        <f>IF(H23="","",VLOOKUP($H23,구분표!$K$3:$M$151,2,FALSE))</f>
        <v/>
      </c>
      <c r="J23" s="116" t="str">
        <f>IF(I23="","",VLOOKUP($H23,구분표!$K$3:$M$151,3,FALSE))</f>
        <v/>
      </c>
      <c r="K23" s="180"/>
      <c r="L23" s="180"/>
      <c r="M23" s="385" t="str">
        <f t="shared" ref="M23:M25" si="54">IF($E23="","",IF(OR($E23="2추", $E23="1추", $E23="본예산"), "금액입력", "-"))</f>
        <v/>
      </c>
      <c r="N23" s="385" t="str">
        <f t="shared" ref="N23:N25" si="55">IF($E23="", "", IF($E23="2추","금액입력", "-"))</f>
        <v/>
      </c>
      <c r="O23" s="387" t="str">
        <f t="shared" si="46"/>
        <v/>
      </c>
      <c r="P23" s="386"/>
      <c r="Q23" s="387">
        <f t="shared" si="47"/>
        <v>0</v>
      </c>
      <c r="R23" s="388"/>
      <c r="S23" s="389">
        <f t="shared" si="48"/>
        <v>0</v>
      </c>
      <c r="T23" s="118" t="str">
        <f t="shared" si="49"/>
        <v>X</v>
      </c>
      <c r="U23" s="180"/>
      <c r="V23" s="172"/>
      <c r="W23" s="165"/>
      <c r="X23" s="181"/>
      <c r="Y23" s="165"/>
      <c r="Z23" s="296" t="str">
        <f t="shared" si="50"/>
        <v/>
      </c>
      <c r="AA23" s="119"/>
      <c r="AB23" s="412" t="str">
        <f t="shared" si="3"/>
        <v/>
      </c>
      <c r="AC23" s="413">
        <f t="shared" si="51"/>
        <v>0</v>
      </c>
      <c r="AD23" s="296" t="str">
        <f t="shared" si="5"/>
        <v>OK</v>
      </c>
      <c r="AF23" s="428" t="str">
        <f t="shared" si="6"/>
        <v/>
      </c>
      <c r="AG23" s="429">
        <f t="shared" si="52"/>
        <v>0</v>
      </c>
      <c r="AH23" s="317" t="str">
        <f t="shared" si="8"/>
        <v>OK</v>
      </c>
      <c r="AI23" s="46"/>
      <c r="AJ23" s="169" t="str">
        <f t="shared" si="9"/>
        <v/>
      </c>
      <c r="AK23" s="296" t="str">
        <f t="shared" si="10"/>
        <v/>
      </c>
      <c r="AL23" s="296" t="str">
        <f t="shared" si="11"/>
        <v/>
      </c>
      <c r="AM23" s="296" t="str">
        <f t="shared" si="12"/>
        <v/>
      </c>
      <c r="AN23" s="296" t="str">
        <f>IF($AM23="","", IF($AM23="도비","OK",IF($AJ23="세입없음","OK",IF($AJ23="세입번호입력","@@",IF(VLOOKUP($AJ23,'4. 특입'!$AF$6:$AG$1000,2,FALSE)='4. 특출'!$AM23,"OK","@@")))))</f>
        <v/>
      </c>
      <c r="AO23" s="59"/>
      <c r="AP23" s="319"/>
      <c r="AQ23" s="27"/>
    </row>
    <row r="24" spans="1:43" ht="80.099999999999994" customHeight="1">
      <c r="A24" s="115" t="str">
        <f>IF(D24="","",COUNTA($C$6:C24)-COUNTBLANK($C$6:C24)+4)</f>
        <v/>
      </c>
      <c r="B24" s="116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16" t="str">
        <f>IF(D24="","",IF(OR(D24="교육지원과"),"소방재난본부",VLOOKUP(D24,구분표!$A$3:$C$258,3,)))</f>
        <v/>
      </c>
      <c r="D24" s="173"/>
      <c r="E24" s="161"/>
      <c r="F24" s="323" t="str">
        <f t="shared" si="53"/>
        <v/>
      </c>
      <c r="G24" s="323" t="str">
        <f t="shared" si="53"/>
        <v/>
      </c>
      <c r="H24" s="161"/>
      <c r="I24" s="116" t="str">
        <f>IF(H24="","",VLOOKUP($H24,구분표!$K$3:$M$151,2,FALSE))</f>
        <v/>
      </c>
      <c r="J24" s="116" t="str">
        <f>IF(I24="","",VLOOKUP($H24,구분표!$K$3:$M$151,3,FALSE))</f>
        <v/>
      </c>
      <c r="K24" s="180"/>
      <c r="L24" s="180"/>
      <c r="M24" s="385" t="str">
        <f t="shared" si="54"/>
        <v/>
      </c>
      <c r="N24" s="385" t="str">
        <f t="shared" si="55"/>
        <v/>
      </c>
      <c r="O24" s="387" t="str">
        <f t="shared" si="46"/>
        <v/>
      </c>
      <c r="P24" s="386"/>
      <c r="Q24" s="387">
        <f t="shared" si="47"/>
        <v>0</v>
      </c>
      <c r="R24" s="388"/>
      <c r="S24" s="389">
        <f t="shared" si="48"/>
        <v>0</v>
      </c>
      <c r="T24" s="118" t="str">
        <f t="shared" si="49"/>
        <v>X</v>
      </c>
      <c r="U24" s="180"/>
      <c r="V24" s="172"/>
      <c r="W24" s="165"/>
      <c r="X24" s="181"/>
      <c r="Y24" s="165"/>
      <c r="Z24" s="296" t="str">
        <f t="shared" si="50"/>
        <v/>
      </c>
      <c r="AA24" s="119"/>
      <c r="AB24" s="412" t="str">
        <f t="shared" si="3"/>
        <v/>
      </c>
      <c r="AC24" s="413">
        <f t="shared" si="51"/>
        <v>0</v>
      </c>
      <c r="AD24" s="296" t="str">
        <f t="shared" si="5"/>
        <v>OK</v>
      </c>
      <c r="AF24" s="428" t="str">
        <f t="shared" si="6"/>
        <v/>
      </c>
      <c r="AG24" s="429">
        <f t="shared" si="52"/>
        <v>0</v>
      </c>
      <c r="AH24" s="317" t="str">
        <f t="shared" si="8"/>
        <v>OK</v>
      </c>
      <c r="AI24" s="46"/>
      <c r="AJ24" s="169" t="str">
        <f t="shared" si="9"/>
        <v/>
      </c>
      <c r="AK24" s="296" t="str">
        <f t="shared" si="10"/>
        <v/>
      </c>
      <c r="AL24" s="296" t="str">
        <f t="shared" si="11"/>
        <v/>
      </c>
      <c r="AM24" s="296" t="str">
        <f t="shared" si="12"/>
        <v/>
      </c>
      <c r="AN24" s="296" t="str">
        <f>IF($AM24="","", IF($AM24="도비","OK",IF($AJ24="세입없음","OK",IF($AJ24="세입번호입력","@@",IF(VLOOKUP($AJ24,'4. 특입'!$AF$6:$AG$1000,2,FALSE)='4. 특출'!$AM24,"OK","@@")))))</f>
        <v/>
      </c>
      <c r="AO24" s="59"/>
      <c r="AP24" s="319"/>
    </row>
    <row r="25" spans="1:43" ht="80.099999999999994" customHeight="1">
      <c r="A25" s="115" t="str">
        <f>IF(D25="","",COUNTA($C$6:C25)-COUNTBLANK($C$6:C25)+4)</f>
        <v/>
      </c>
      <c r="B25" s="116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16" t="str">
        <f>IF(D25="","",IF(OR(D25="교육지원과"),"소방재난본부",VLOOKUP(D25,구분표!$A$3:$C$258,3,)))</f>
        <v/>
      </c>
      <c r="D25" s="173"/>
      <c r="E25" s="161"/>
      <c r="F25" s="323" t="str">
        <f t="shared" si="53"/>
        <v/>
      </c>
      <c r="G25" s="323" t="str">
        <f t="shared" si="53"/>
        <v/>
      </c>
      <c r="H25" s="161"/>
      <c r="I25" s="116" t="str">
        <f>IF(H25="","",VLOOKUP($H25,구분표!$K$3:$M$151,2,FALSE))</f>
        <v/>
      </c>
      <c r="J25" s="116" t="str">
        <f>IF(I25="","",VLOOKUP($H25,구분표!$K$3:$M$151,3,FALSE))</f>
        <v/>
      </c>
      <c r="K25" s="180"/>
      <c r="L25" s="180"/>
      <c r="M25" s="385" t="str">
        <f t="shared" si="54"/>
        <v/>
      </c>
      <c r="N25" s="385" t="str">
        <f t="shared" si="55"/>
        <v/>
      </c>
      <c r="O25" s="387" t="str">
        <f t="shared" si="46"/>
        <v/>
      </c>
      <c r="P25" s="386"/>
      <c r="Q25" s="387">
        <f t="shared" si="47"/>
        <v>0</v>
      </c>
      <c r="R25" s="388"/>
      <c r="S25" s="389">
        <f t="shared" si="48"/>
        <v>0</v>
      </c>
      <c r="T25" s="118" t="str">
        <f t="shared" si="49"/>
        <v>X</v>
      </c>
      <c r="U25" s="180"/>
      <c r="V25" s="172"/>
      <c r="W25" s="165"/>
      <c r="X25" s="181"/>
      <c r="Y25" s="165"/>
      <c r="Z25" s="296" t="str">
        <f t="shared" si="50"/>
        <v/>
      </c>
      <c r="AA25" s="119"/>
      <c r="AB25" s="412" t="str">
        <f t="shared" si="3"/>
        <v/>
      </c>
      <c r="AC25" s="413">
        <f t="shared" si="51"/>
        <v>0</v>
      </c>
      <c r="AD25" s="296" t="str">
        <f t="shared" si="5"/>
        <v>OK</v>
      </c>
      <c r="AF25" s="428" t="str">
        <f t="shared" si="6"/>
        <v/>
      </c>
      <c r="AG25" s="429">
        <f t="shared" si="52"/>
        <v>0</v>
      </c>
      <c r="AH25" s="317" t="str">
        <f t="shared" si="8"/>
        <v>OK</v>
      </c>
      <c r="AI25" s="46"/>
      <c r="AJ25" s="169" t="str">
        <f t="shared" si="9"/>
        <v/>
      </c>
      <c r="AK25" s="296" t="str">
        <f t="shared" si="10"/>
        <v/>
      </c>
      <c r="AL25" s="296" t="str">
        <f t="shared" si="11"/>
        <v/>
      </c>
      <c r="AM25" s="296" t="str">
        <f t="shared" si="12"/>
        <v/>
      </c>
      <c r="AN25" s="296" t="str">
        <f>IF($AM25="","", IF($AM25="도비","OK",IF($AJ25="세입없음","OK",IF($AJ25="세입번호입력","@@",IF(VLOOKUP($AJ25,'4. 특입'!$AF$6:$AG$1000,2,FALSE)='4. 특출'!$AM25,"OK","@@")))))</f>
        <v/>
      </c>
      <c r="AO25" s="59"/>
      <c r="AP25" s="319"/>
    </row>
    <row r="26" spans="1:43" ht="60" customHeight="1">
      <c r="A26" s="125"/>
      <c r="B26" s="666" t="s">
        <v>764</v>
      </c>
      <c r="C26" s="666"/>
      <c r="D26" s="666"/>
      <c r="E26" s="666"/>
      <c r="F26" s="666"/>
      <c r="G26" s="666"/>
      <c r="H26" s="126"/>
      <c r="I26" s="126"/>
      <c r="J26" s="126"/>
      <c r="K26" s="126"/>
      <c r="L26" s="295" t="str">
        <f>SUBTOTAL(3,L27:L30)&amp;"건"</f>
        <v>0건</v>
      </c>
      <c r="M26" s="403">
        <f t="shared" ref="M26:S26" si="56">SUBTOTAL(9,M27:M30)</f>
        <v>0</v>
      </c>
      <c r="N26" s="403">
        <f t="shared" si="56"/>
        <v>0</v>
      </c>
      <c r="O26" s="403">
        <f t="shared" si="56"/>
        <v>0</v>
      </c>
      <c r="P26" s="403">
        <f t="shared" si="56"/>
        <v>0</v>
      </c>
      <c r="Q26" s="403">
        <f t="shared" si="56"/>
        <v>0</v>
      </c>
      <c r="R26" s="403">
        <f t="shared" si="56"/>
        <v>0</v>
      </c>
      <c r="S26" s="403">
        <f t="shared" si="56"/>
        <v>0</v>
      </c>
      <c r="T26" s="125"/>
      <c r="U26" s="127"/>
      <c r="V26" s="127"/>
      <c r="W26" s="128"/>
      <c r="X26" s="129"/>
      <c r="Y26" s="129"/>
      <c r="Z26" s="71"/>
      <c r="AA26" s="43"/>
      <c r="AB26" s="390">
        <f>SUBTOTAL(9,AB27:AB30)</f>
        <v>0</v>
      </c>
      <c r="AC26" s="390">
        <f>SUBTOTAL(9,AC27:AC30)</f>
        <v>0</v>
      </c>
      <c r="AD26" s="471" t="str">
        <f>IF(COUNTIF(AD27:AD30,"@@")&gt;0,"@@","OK")</f>
        <v>OK</v>
      </c>
      <c r="AF26" s="390">
        <f>SUBTOTAL(9,AF27:AF30)</f>
        <v>0</v>
      </c>
      <c r="AG26" s="390">
        <f>SUBTOTAL(9,AG27:AG30)</f>
        <v>0</v>
      </c>
      <c r="AH26" s="471" t="str">
        <f>IF(COUNTIF(AH27:AH30,"@@")&gt;0,"@@","OK")</f>
        <v>OK</v>
      </c>
      <c r="AI26" s="36"/>
      <c r="AJ26" s="71"/>
      <c r="AK26" s="71"/>
      <c r="AL26" s="471" t="str">
        <f>IF(COUNTIF(AL27:AL30,"@@")&gt;0,"@@","OK")</f>
        <v>OK</v>
      </c>
      <c r="AM26" s="71"/>
      <c r="AN26" s="471" t="str">
        <f>IF(COUNTIF(AN27:AN30,"@@")&gt;0,"@@","OK")</f>
        <v>OK</v>
      </c>
      <c r="AO26" s="36"/>
      <c r="AP26" s="71"/>
    </row>
    <row r="27" spans="1:43" ht="80.099999999999994" customHeight="1">
      <c r="A27" s="115" t="str">
        <f>IF(D27="","",COUNTA($C$6:C27)-COUNTBLANK($C$6:C27)+5)</f>
        <v/>
      </c>
      <c r="B27" s="116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16" t="str">
        <f>IF(D27="","",IF(OR(D27="교육지원과"),"소방재난본부",VLOOKUP(D27,구분표!$A$3:$C$258,3,)))</f>
        <v/>
      </c>
      <c r="D27" s="173"/>
      <c r="E27" s="161"/>
      <c r="F27" s="323" t="str">
        <f>IF($E27="","",IF($E27="2추","직접입력","-"))</f>
        <v/>
      </c>
      <c r="G27" s="323" t="str">
        <f>IF($E27="","",IF($E27="2추","직접입력","-"))</f>
        <v/>
      </c>
      <c r="H27" s="161"/>
      <c r="I27" s="116" t="str">
        <f>IF(H27="","",VLOOKUP($H27,구분표!$K$3:$M$151,2,FALSE))</f>
        <v/>
      </c>
      <c r="J27" s="116" t="str">
        <f>IF(I27="","",VLOOKUP($H27,구분표!$K$3:$M$151,3,FALSE))</f>
        <v/>
      </c>
      <c r="K27" s="180"/>
      <c r="L27" s="180"/>
      <c r="M27" s="385" t="str">
        <f>IF($E27="","",IF(OR($E27="2추", $E27="1추", $E27="본예산"), "금액입력", "-"))</f>
        <v/>
      </c>
      <c r="N27" s="385" t="str">
        <f>IF($E27="", "", IF($E27="2추","금액입력", "-"))</f>
        <v/>
      </c>
      <c r="O27" s="387" t="str">
        <f t="shared" ref="O27:O30" si="57">IF($E27="","",SUM(M27:N27))</f>
        <v/>
      </c>
      <c r="P27" s="386"/>
      <c r="Q27" s="387">
        <f t="shared" ref="Q27:Q30" si="58">SUM(O27:P27)</f>
        <v>0</v>
      </c>
      <c r="R27" s="388"/>
      <c r="S27" s="389">
        <f t="shared" ref="S27:S30" si="59">SUM(O27,R27)</f>
        <v>0</v>
      </c>
      <c r="T27" s="118" t="str">
        <f t="shared" ref="T27:T30" si="60">IF(AND((Q27=0),(S27&gt;0)),"O",IF(AND((P27&lt;0),(Q27-S27&lt;0)),"O","X"))</f>
        <v>X</v>
      </c>
      <c r="U27" s="180"/>
      <c r="V27" s="172"/>
      <c r="W27" s="165"/>
      <c r="X27" s="181"/>
      <c r="Y27" s="165"/>
      <c r="Z27" s="296" t="str">
        <f t="shared" ref="Z27:Z30" si="61">IF($K27="","",IF(COUNT(FIND("국비/",$K27)),"국도비",IF(COUNT(FIND("균특/",$K27)),"국도비",IF(COUNT(FIND("기금/",$K27)),"국도비",IF(COUNT(FIND("교부세/",$K27)),"국도비",IF(COUNT(FIND("소방안전/",$K27)),"국도비",IF(COUNT(FIND("소멸대응/",$K27)),"국도비","도비")))))))</f>
        <v/>
      </c>
      <c r="AA27" s="119"/>
      <c r="AB27" s="412" t="str">
        <f t="shared" si="3"/>
        <v/>
      </c>
      <c r="AC27" s="413">
        <f t="shared" ref="AC27:AC30" si="62">IFERROR(P27-AB27,0)</f>
        <v>0</v>
      </c>
      <c r="AD27" s="296" t="str">
        <f t="shared" si="5"/>
        <v>OK</v>
      </c>
      <c r="AF27" s="428" t="str">
        <f t="shared" si="6"/>
        <v/>
      </c>
      <c r="AG27" s="429">
        <f t="shared" ref="AG27:AG30" si="63">IFERROR(R27-AF27,0)</f>
        <v>0</v>
      </c>
      <c r="AH27" s="317" t="str">
        <f t="shared" si="8"/>
        <v>OK</v>
      </c>
      <c r="AI27" s="46"/>
      <c r="AJ27" s="169" t="str">
        <f t="shared" si="9"/>
        <v/>
      </c>
      <c r="AK27" s="296" t="str">
        <f t="shared" si="10"/>
        <v/>
      </c>
      <c r="AL27" s="296" t="str">
        <f t="shared" si="11"/>
        <v/>
      </c>
      <c r="AM27" s="296" t="str">
        <f t="shared" si="12"/>
        <v/>
      </c>
      <c r="AN27" s="296" t="str">
        <f>IF($AM27="","", IF($AM27="도비","OK",IF($AJ27="세입없음","OK",IF($AJ27="세입번호입력","@@",IF(VLOOKUP($AJ27,'4. 특입'!$AF$6:$AG$1000,2,FALSE)='4. 특출'!$AM27,"OK","@@")))))</f>
        <v/>
      </c>
      <c r="AO27" s="59"/>
      <c r="AP27" s="319"/>
      <c r="AQ27" s="27"/>
    </row>
    <row r="28" spans="1:43" ht="80.099999999999994" customHeight="1">
      <c r="A28" s="115" t="str">
        <f>IF(D28="","",COUNTA($C$6:C28)-COUNTBLANK($C$6:C28)+5)</f>
        <v/>
      </c>
      <c r="B28" s="116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16" t="str">
        <f>IF(D28="","",IF(OR(D28="교육지원과"),"소방재난본부",VLOOKUP(D28,구분표!$A$3:$C$258,3,)))</f>
        <v/>
      </c>
      <c r="D28" s="173"/>
      <c r="E28" s="161"/>
      <c r="F28" s="323" t="str">
        <f t="shared" ref="F28:G30" si="64">IF($E28="","",IF($E28="2추","직접입력","-"))</f>
        <v/>
      </c>
      <c r="G28" s="323" t="str">
        <f t="shared" si="64"/>
        <v/>
      </c>
      <c r="H28" s="161"/>
      <c r="I28" s="116" t="str">
        <f>IF(H28="","",VLOOKUP($H28,구분표!$K$3:$M$151,2,FALSE))</f>
        <v/>
      </c>
      <c r="J28" s="116" t="str">
        <f>IF(I28="","",VLOOKUP($H28,구분표!$K$3:$M$151,3,FALSE))</f>
        <v/>
      </c>
      <c r="K28" s="180"/>
      <c r="L28" s="180"/>
      <c r="M28" s="385" t="str">
        <f t="shared" ref="M28:M30" si="65">IF($E28="","",IF(OR($E28="2추", $E28="1추", $E28="본예산"), "금액입력", "-"))</f>
        <v/>
      </c>
      <c r="N28" s="385" t="str">
        <f t="shared" ref="N28:N30" si="66">IF($E28="", "", IF($E28="2추","금액입력", "-"))</f>
        <v/>
      </c>
      <c r="O28" s="387" t="str">
        <f t="shared" si="57"/>
        <v/>
      </c>
      <c r="P28" s="386"/>
      <c r="Q28" s="387">
        <f t="shared" si="58"/>
        <v>0</v>
      </c>
      <c r="R28" s="388"/>
      <c r="S28" s="389">
        <f t="shared" si="59"/>
        <v>0</v>
      </c>
      <c r="T28" s="118" t="str">
        <f t="shared" si="60"/>
        <v>X</v>
      </c>
      <c r="U28" s="180"/>
      <c r="V28" s="172"/>
      <c r="W28" s="165"/>
      <c r="X28" s="181"/>
      <c r="Y28" s="165"/>
      <c r="Z28" s="296" t="str">
        <f t="shared" si="61"/>
        <v/>
      </c>
      <c r="AA28" s="119"/>
      <c r="AB28" s="412" t="str">
        <f t="shared" si="3"/>
        <v/>
      </c>
      <c r="AC28" s="413">
        <f t="shared" si="62"/>
        <v>0</v>
      </c>
      <c r="AD28" s="296" t="str">
        <f t="shared" si="5"/>
        <v>OK</v>
      </c>
      <c r="AF28" s="428" t="str">
        <f t="shared" si="6"/>
        <v/>
      </c>
      <c r="AG28" s="429">
        <f t="shared" si="63"/>
        <v>0</v>
      </c>
      <c r="AH28" s="317" t="str">
        <f t="shared" si="8"/>
        <v>OK</v>
      </c>
      <c r="AI28" s="46"/>
      <c r="AJ28" s="169" t="str">
        <f t="shared" si="9"/>
        <v/>
      </c>
      <c r="AK28" s="296" t="str">
        <f t="shared" si="10"/>
        <v/>
      </c>
      <c r="AL28" s="296" t="str">
        <f t="shared" si="11"/>
        <v/>
      </c>
      <c r="AM28" s="296" t="str">
        <f t="shared" si="12"/>
        <v/>
      </c>
      <c r="AN28" s="296" t="str">
        <f>IF($AM28="","", IF($AM28="도비","OK",IF($AJ28="세입없음","OK",IF($AJ28="세입번호입력","@@",IF(VLOOKUP($AJ28,'4. 특입'!$AF$6:$AG$1000,2,FALSE)='4. 특출'!$AM28,"OK","@@")))))</f>
        <v/>
      </c>
      <c r="AO28" s="59"/>
      <c r="AP28" s="319"/>
      <c r="AQ28" s="27"/>
    </row>
    <row r="29" spans="1:43" ht="80.099999999999994" customHeight="1">
      <c r="A29" s="115" t="str">
        <f>IF(D29="","",COUNTA($C$6:C29)-COUNTBLANK($C$6:C29)+5)</f>
        <v/>
      </c>
      <c r="B29" s="116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16" t="str">
        <f>IF(D29="","",IF(OR(D29="교육지원과"),"소방재난본부",VLOOKUP(D29,구분표!$A$3:$C$258,3,)))</f>
        <v/>
      </c>
      <c r="D29" s="173"/>
      <c r="E29" s="161"/>
      <c r="F29" s="323" t="str">
        <f t="shared" si="64"/>
        <v/>
      </c>
      <c r="G29" s="323" t="str">
        <f t="shared" si="64"/>
        <v/>
      </c>
      <c r="H29" s="161"/>
      <c r="I29" s="116" t="str">
        <f>IF(H29="","",VLOOKUP($H29,구분표!$K$3:$M$151,2,FALSE))</f>
        <v/>
      </c>
      <c r="J29" s="116" t="str">
        <f>IF(I29="","",VLOOKUP($H29,구분표!$K$3:$M$151,3,FALSE))</f>
        <v/>
      </c>
      <c r="K29" s="180"/>
      <c r="L29" s="180"/>
      <c r="M29" s="385" t="str">
        <f t="shared" si="65"/>
        <v/>
      </c>
      <c r="N29" s="385" t="str">
        <f t="shared" si="66"/>
        <v/>
      </c>
      <c r="O29" s="387" t="str">
        <f t="shared" si="57"/>
        <v/>
      </c>
      <c r="P29" s="386"/>
      <c r="Q29" s="387">
        <f t="shared" si="58"/>
        <v>0</v>
      </c>
      <c r="R29" s="388"/>
      <c r="S29" s="389">
        <f t="shared" si="59"/>
        <v>0</v>
      </c>
      <c r="T29" s="118" t="str">
        <f t="shared" si="60"/>
        <v>X</v>
      </c>
      <c r="U29" s="180"/>
      <c r="V29" s="172"/>
      <c r="W29" s="165"/>
      <c r="X29" s="181"/>
      <c r="Y29" s="165"/>
      <c r="Z29" s="296" t="str">
        <f t="shared" si="61"/>
        <v/>
      </c>
      <c r="AA29" s="119"/>
      <c r="AB29" s="412" t="str">
        <f t="shared" si="3"/>
        <v/>
      </c>
      <c r="AC29" s="413">
        <f t="shared" si="62"/>
        <v>0</v>
      </c>
      <c r="AD29" s="296" t="str">
        <f t="shared" si="5"/>
        <v>OK</v>
      </c>
      <c r="AF29" s="428" t="str">
        <f t="shared" si="6"/>
        <v/>
      </c>
      <c r="AG29" s="429">
        <f t="shared" si="63"/>
        <v>0</v>
      </c>
      <c r="AH29" s="317" t="str">
        <f t="shared" si="8"/>
        <v>OK</v>
      </c>
      <c r="AI29" s="46"/>
      <c r="AJ29" s="169" t="str">
        <f t="shared" si="9"/>
        <v/>
      </c>
      <c r="AK29" s="296" t="str">
        <f t="shared" si="10"/>
        <v/>
      </c>
      <c r="AL29" s="296" t="str">
        <f t="shared" si="11"/>
        <v/>
      </c>
      <c r="AM29" s="296" t="str">
        <f t="shared" si="12"/>
        <v/>
      </c>
      <c r="AN29" s="296" t="str">
        <f>IF($AM29="","", IF($AM29="도비","OK",IF($AJ29="세입없음","OK",IF($AJ29="세입번호입력","@@",IF(VLOOKUP($AJ29,'4. 특입'!$AF$6:$AG$1000,2,FALSE)='4. 특출'!$AM29,"OK","@@")))))</f>
        <v/>
      </c>
      <c r="AO29" s="59"/>
      <c r="AP29" s="319"/>
    </row>
    <row r="30" spans="1:43" ht="80.099999999999994" customHeight="1">
      <c r="A30" s="115" t="str">
        <f>IF(D30="","",COUNTA($C$6:C30)-COUNTBLANK($C$6:C30)+5)</f>
        <v/>
      </c>
      <c r="B30" s="116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16" t="str">
        <f>IF(D30="","",IF(OR(D30="교육지원과"),"소방재난본부",VLOOKUP(D30,구분표!$A$3:$C$258,3,)))</f>
        <v/>
      </c>
      <c r="D30" s="173"/>
      <c r="E30" s="161"/>
      <c r="F30" s="323" t="str">
        <f t="shared" si="64"/>
        <v/>
      </c>
      <c r="G30" s="323" t="str">
        <f t="shared" si="64"/>
        <v/>
      </c>
      <c r="H30" s="161"/>
      <c r="I30" s="116" t="str">
        <f>IF(H30="","",VLOOKUP($H30,구분표!$K$3:$M$151,2,FALSE))</f>
        <v/>
      </c>
      <c r="J30" s="116" t="str">
        <f>IF(I30="","",VLOOKUP($H30,구분표!$K$3:$M$151,3,FALSE))</f>
        <v/>
      </c>
      <c r="K30" s="180"/>
      <c r="L30" s="180"/>
      <c r="M30" s="385" t="str">
        <f t="shared" si="65"/>
        <v/>
      </c>
      <c r="N30" s="385" t="str">
        <f t="shared" si="66"/>
        <v/>
      </c>
      <c r="O30" s="387" t="str">
        <f t="shared" si="57"/>
        <v/>
      </c>
      <c r="P30" s="386"/>
      <c r="Q30" s="387">
        <f t="shared" si="58"/>
        <v>0</v>
      </c>
      <c r="R30" s="388"/>
      <c r="S30" s="389">
        <f t="shared" si="59"/>
        <v>0</v>
      </c>
      <c r="T30" s="118" t="str">
        <f t="shared" si="60"/>
        <v>X</v>
      </c>
      <c r="U30" s="180"/>
      <c r="V30" s="172"/>
      <c r="W30" s="165"/>
      <c r="X30" s="181"/>
      <c r="Y30" s="165"/>
      <c r="Z30" s="296" t="str">
        <f t="shared" si="61"/>
        <v/>
      </c>
      <c r="AA30" s="119"/>
      <c r="AB30" s="412" t="str">
        <f t="shared" si="3"/>
        <v/>
      </c>
      <c r="AC30" s="413">
        <f t="shared" si="62"/>
        <v>0</v>
      </c>
      <c r="AD30" s="296" t="str">
        <f t="shared" si="5"/>
        <v>OK</v>
      </c>
      <c r="AF30" s="428" t="str">
        <f t="shared" si="6"/>
        <v/>
      </c>
      <c r="AG30" s="429">
        <f t="shared" si="63"/>
        <v>0</v>
      </c>
      <c r="AH30" s="317" t="str">
        <f t="shared" si="8"/>
        <v>OK</v>
      </c>
      <c r="AI30" s="46"/>
      <c r="AJ30" s="169" t="str">
        <f t="shared" si="9"/>
        <v/>
      </c>
      <c r="AK30" s="296" t="str">
        <f t="shared" si="10"/>
        <v/>
      </c>
      <c r="AL30" s="296" t="str">
        <f t="shared" si="11"/>
        <v/>
      </c>
      <c r="AM30" s="296" t="str">
        <f t="shared" si="12"/>
        <v/>
      </c>
      <c r="AN30" s="296" t="str">
        <f>IF($AM30="","", IF($AM30="도비","OK",IF($AJ30="세입없음","OK",IF($AJ30="세입번호입력","@@",IF(VLOOKUP($AJ30,'4. 특입'!$AF$6:$AG$1000,2,FALSE)='4. 특출'!$AM30,"OK","@@")))))</f>
        <v/>
      </c>
      <c r="AO30" s="59"/>
      <c r="AP30" s="319"/>
    </row>
    <row r="31" spans="1:43" ht="60" customHeight="1">
      <c r="A31" s="125"/>
      <c r="B31" s="666" t="s">
        <v>769</v>
      </c>
      <c r="C31" s="666"/>
      <c r="D31" s="666"/>
      <c r="E31" s="666"/>
      <c r="F31" s="666"/>
      <c r="G31" s="666"/>
      <c r="H31" s="126"/>
      <c r="I31" s="126"/>
      <c r="J31" s="126"/>
      <c r="K31" s="126"/>
      <c r="L31" s="295" t="str">
        <f>SUBTOTAL(3,L32:L35)&amp;"건"</f>
        <v>0건</v>
      </c>
      <c r="M31" s="403">
        <f t="shared" ref="M31:S31" si="67">SUBTOTAL(9,M32:M35)</f>
        <v>0</v>
      </c>
      <c r="N31" s="403">
        <f t="shared" si="67"/>
        <v>0</v>
      </c>
      <c r="O31" s="403">
        <f t="shared" si="67"/>
        <v>0</v>
      </c>
      <c r="P31" s="403">
        <f t="shared" si="67"/>
        <v>0</v>
      </c>
      <c r="Q31" s="403">
        <f t="shared" si="67"/>
        <v>0</v>
      </c>
      <c r="R31" s="403">
        <f t="shared" si="67"/>
        <v>0</v>
      </c>
      <c r="S31" s="403">
        <f t="shared" si="67"/>
        <v>0</v>
      </c>
      <c r="T31" s="125"/>
      <c r="U31" s="127"/>
      <c r="V31" s="127"/>
      <c r="W31" s="128"/>
      <c r="X31" s="129"/>
      <c r="Y31" s="129"/>
      <c r="Z31" s="71"/>
      <c r="AA31" s="43"/>
      <c r="AB31" s="390">
        <f>SUBTOTAL(9,AB32:AB35)</f>
        <v>0</v>
      </c>
      <c r="AC31" s="390">
        <f>SUBTOTAL(9,AC32:AC35)</f>
        <v>0</v>
      </c>
      <c r="AD31" s="471" t="str">
        <f>IF(COUNTIF(AD32:AD35,"@@")&gt;0,"@@","OK")</f>
        <v>OK</v>
      </c>
      <c r="AF31" s="390">
        <f>SUBTOTAL(9,AF32:AF35)</f>
        <v>0</v>
      </c>
      <c r="AG31" s="390">
        <f>SUBTOTAL(9,AG32:AG35)</f>
        <v>0</v>
      </c>
      <c r="AH31" s="471" t="str">
        <f>IF(COUNTIF(AH32:AH35,"@@")&gt;0,"@@","OK")</f>
        <v>OK</v>
      </c>
      <c r="AI31" s="36"/>
      <c r="AJ31" s="71"/>
      <c r="AK31" s="71"/>
      <c r="AL31" s="471" t="str">
        <f>IF(COUNTIF(AL32:AL35,"@@")&gt;0,"@@","OK")</f>
        <v>OK</v>
      </c>
      <c r="AM31" s="71"/>
      <c r="AN31" s="471" t="str">
        <f>IF(COUNTIF(AN32:AN35,"@@")&gt;0,"@@","OK")</f>
        <v>OK</v>
      </c>
      <c r="AO31" s="36"/>
      <c r="AP31" s="71"/>
    </row>
    <row r="32" spans="1:43" ht="80.099999999999994" customHeight="1">
      <c r="A32" s="115" t="str">
        <f>IF(D32="","",COUNTA($C$6:C32)-COUNTBLANK($C$6:C32)+6)</f>
        <v/>
      </c>
      <c r="B32" s="116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16" t="str">
        <f>IF(D32="","",IF(OR(D32="교육지원과"),"소방재난본부",VLOOKUP(D32,구분표!$A$3:$C$258,3,)))</f>
        <v/>
      </c>
      <c r="D32" s="173"/>
      <c r="E32" s="161"/>
      <c r="F32" s="323" t="str">
        <f>IF($E32="","",IF($E32="2추","직접입력","-"))</f>
        <v/>
      </c>
      <c r="G32" s="323" t="str">
        <f>IF($E32="","",IF($E32="2추","직접입력","-"))</f>
        <v/>
      </c>
      <c r="H32" s="161"/>
      <c r="I32" s="116" t="str">
        <f>IF(H32="","",VLOOKUP($H32,구분표!$K$3:$M$151,2,FALSE))</f>
        <v/>
      </c>
      <c r="J32" s="116" t="str">
        <f>IF(I32="","",VLOOKUP($H32,구분표!$K$3:$M$151,3,FALSE))</f>
        <v/>
      </c>
      <c r="K32" s="180"/>
      <c r="L32" s="180"/>
      <c r="M32" s="385" t="str">
        <f>IF($E32="","",IF(OR($E32="2추", $E32="1추", $E32="본예산"), "금액입력", "-"))</f>
        <v/>
      </c>
      <c r="N32" s="385" t="str">
        <f>IF($E32="", "", IF($E32="2추","금액입력", "-"))</f>
        <v/>
      </c>
      <c r="O32" s="387" t="str">
        <f t="shared" ref="O32:O35" si="68">IF($E32="","",SUM(M32:N32))</f>
        <v/>
      </c>
      <c r="P32" s="386"/>
      <c r="Q32" s="387">
        <f t="shared" ref="Q32:Q35" si="69">SUM(O32:P32)</f>
        <v>0</v>
      </c>
      <c r="R32" s="388"/>
      <c r="S32" s="389">
        <f t="shared" ref="S32:S35" si="70">SUM(O32,R32)</f>
        <v>0</v>
      </c>
      <c r="T32" s="118" t="str">
        <f t="shared" ref="T32:T35" si="71">IF(AND((Q32=0),(S32&gt;0)),"O",IF(AND((P32&lt;0),(Q32-S32&lt;0)),"O","X"))</f>
        <v>X</v>
      </c>
      <c r="U32" s="180"/>
      <c r="V32" s="172"/>
      <c r="W32" s="165"/>
      <c r="X32" s="181"/>
      <c r="Y32" s="165"/>
      <c r="Z32" s="296" t="str">
        <f t="shared" ref="Z32:Z35" si="72">IF($K32="","",IF(COUNT(FIND("국비/",$K32)),"국도비",IF(COUNT(FIND("균특/",$K32)),"국도비",IF(COUNT(FIND("기금/",$K32)),"국도비",IF(COUNT(FIND("교부세/",$K32)),"국도비",IF(COUNT(FIND("소방안전/",$K32)),"국도비",IF(COUNT(FIND("소멸대응/",$K32)),"국도비","도비")))))))</f>
        <v/>
      </c>
      <c r="AA32" s="119"/>
      <c r="AB32" s="412" t="str">
        <f t="shared" si="3"/>
        <v/>
      </c>
      <c r="AC32" s="413">
        <f t="shared" ref="AC32:AC35" si="73">IFERROR(P32-AB32,0)</f>
        <v>0</v>
      </c>
      <c r="AD32" s="296" t="str">
        <f t="shared" si="5"/>
        <v>OK</v>
      </c>
      <c r="AF32" s="428" t="str">
        <f t="shared" si="6"/>
        <v/>
      </c>
      <c r="AG32" s="429">
        <f t="shared" ref="AG32:AG35" si="74">IFERROR(R32-AF32,0)</f>
        <v>0</v>
      </c>
      <c r="AH32" s="317" t="str">
        <f t="shared" si="8"/>
        <v>OK</v>
      </c>
      <c r="AI32" s="46"/>
      <c r="AJ32" s="169" t="str">
        <f t="shared" si="9"/>
        <v/>
      </c>
      <c r="AK32" s="296" t="str">
        <f t="shared" si="10"/>
        <v/>
      </c>
      <c r="AL32" s="296" t="str">
        <f t="shared" si="11"/>
        <v/>
      </c>
      <c r="AM32" s="296" t="str">
        <f t="shared" si="12"/>
        <v/>
      </c>
      <c r="AN32" s="296" t="str">
        <f>IF($AM32="","", IF($AM32="도비","OK",IF($AJ32="세입없음","OK",IF($AJ32="세입번호입력","@@",IF(VLOOKUP($AJ32,'4. 특입'!$AF$6:$AG$1000,2,FALSE)='4. 특출'!$AM32,"OK","@@")))))</f>
        <v/>
      </c>
      <c r="AO32" s="59"/>
      <c r="AP32" s="319"/>
      <c r="AQ32" s="27"/>
    </row>
    <row r="33" spans="1:43" ht="80.099999999999994" customHeight="1">
      <c r="A33" s="115" t="str">
        <f>IF(D33="","",COUNTA($C$6:C33)-COUNTBLANK($C$6:C33)+6)</f>
        <v/>
      </c>
      <c r="B33" s="116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16" t="str">
        <f>IF(D33="","",IF(OR(D33="교육지원과"),"소방재난본부",VLOOKUP(D33,구분표!$A$3:$C$258,3,)))</f>
        <v/>
      </c>
      <c r="D33" s="173"/>
      <c r="E33" s="161"/>
      <c r="F33" s="323" t="str">
        <f t="shared" ref="F33:G35" si="75">IF($E33="","",IF($E33="2추","직접입력","-"))</f>
        <v/>
      </c>
      <c r="G33" s="323" t="str">
        <f t="shared" si="75"/>
        <v/>
      </c>
      <c r="H33" s="161"/>
      <c r="I33" s="116" t="str">
        <f>IF(H33="","",VLOOKUP($H33,구분표!$K$3:$M$151,2,FALSE))</f>
        <v/>
      </c>
      <c r="J33" s="116" t="str">
        <f>IF(I33="","",VLOOKUP($H33,구분표!$K$3:$M$151,3,FALSE))</f>
        <v/>
      </c>
      <c r="K33" s="180"/>
      <c r="L33" s="180"/>
      <c r="M33" s="385" t="str">
        <f t="shared" ref="M33:M35" si="76">IF($E33="","",IF(OR($E33="2추", $E33="1추", $E33="본예산"), "금액입력", "-"))</f>
        <v/>
      </c>
      <c r="N33" s="385" t="str">
        <f t="shared" ref="N33:N35" si="77">IF($E33="", "", IF($E33="2추","금액입력", "-"))</f>
        <v/>
      </c>
      <c r="O33" s="387" t="str">
        <f t="shared" si="68"/>
        <v/>
      </c>
      <c r="P33" s="386"/>
      <c r="Q33" s="387">
        <f t="shared" si="69"/>
        <v>0</v>
      </c>
      <c r="R33" s="388"/>
      <c r="S33" s="389">
        <f t="shared" si="70"/>
        <v>0</v>
      </c>
      <c r="T33" s="118" t="str">
        <f t="shared" si="71"/>
        <v>X</v>
      </c>
      <c r="U33" s="180"/>
      <c r="V33" s="172"/>
      <c r="W33" s="165"/>
      <c r="X33" s="181"/>
      <c r="Y33" s="165"/>
      <c r="Z33" s="296" t="str">
        <f t="shared" si="72"/>
        <v/>
      </c>
      <c r="AA33" s="119"/>
      <c r="AB33" s="412" t="str">
        <f t="shared" si="3"/>
        <v/>
      </c>
      <c r="AC33" s="413">
        <f t="shared" si="73"/>
        <v>0</v>
      </c>
      <c r="AD33" s="296" t="str">
        <f t="shared" si="5"/>
        <v>OK</v>
      </c>
      <c r="AF33" s="428" t="str">
        <f t="shared" si="6"/>
        <v/>
      </c>
      <c r="AG33" s="429">
        <f t="shared" si="74"/>
        <v>0</v>
      </c>
      <c r="AH33" s="317" t="str">
        <f t="shared" si="8"/>
        <v>OK</v>
      </c>
      <c r="AI33" s="46"/>
      <c r="AJ33" s="169" t="str">
        <f t="shared" si="9"/>
        <v/>
      </c>
      <c r="AK33" s="296" t="str">
        <f t="shared" si="10"/>
        <v/>
      </c>
      <c r="AL33" s="296" t="str">
        <f t="shared" si="11"/>
        <v/>
      </c>
      <c r="AM33" s="296" t="str">
        <f t="shared" si="12"/>
        <v/>
      </c>
      <c r="AN33" s="296" t="str">
        <f>IF($AM33="","", IF($AM33="도비","OK",IF($AJ33="세입없음","OK",IF($AJ33="세입번호입력","@@",IF(VLOOKUP($AJ33,'4. 특입'!$AF$6:$AG$1000,2,FALSE)='4. 특출'!$AM33,"OK","@@")))))</f>
        <v/>
      </c>
      <c r="AO33" s="59"/>
      <c r="AP33" s="319"/>
      <c r="AQ33" s="27"/>
    </row>
    <row r="34" spans="1:43" ht="80.099999999999994" customHeight="1">
      <c r="A34" s="115" t="str">
        <f>IF(D34="","",COUNTA($C$6:C34)-COUNTBLANK($C$6:C34)+6)</f>
        <v/>
      </c>
      <c r="B34" s="116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16" t="str">
        <f>IF(D34="","",IF(OR(D34="교육지원과"),"소방재난본부",VLOOKUP(D34,구분표!$A$3:$C$258,3,)))</f>
        <v/>
      </c>
      <c r="D34" s="173"/>
      <c r="E34" s="161"/>
      <c r="F34" s="323" t="str">
        <f t="shared" si="75"/>
        <v/>
      </c>
      <c r="G34" s="323" t="str">
        <f t="shared" si="75"/>
        <v/>
      </c>
      <c r="H34" s="161"/>
      <c r="I34" s="116" t="str">
        <f>IF(H34="","",VLOOKUP($H34,구분표!$K$3:$M$151,2,FALSE))</f>
        <v/>
      </c>
      <c r="J34" s="116" t="str">
        <f>IF(I34="","",VLOOKUP($H34,구분표!$K$3:$M$151,3,FALSE))</f>
        <v/>
      </c>
      <c r="K34" s="180"/>
      <c r="L34" s="180"/>
      <c r="M34" s="385" t="str">
        <f t="shared" si="76"/>
        <v/>
      </c>
      <c r="N34" s="385" t="str">
        <f t="shared" si="77"/>
        <v/>
      </c>
      <c r="O34" s="387" t="str">
        <f t="shared" si="68"/>
        <v/>
      </c>
      <c r="P34" s="386"/>
      <c r="Q34" s="387">
        <f t="shared" si="69"/>
        <v>0</v>
      </c>
      <c r="R34" s="388"/>
      <c r="S34" s="389">
        <f t="shared" si="70"/>
        <v>0</v>
      </c>
      <c r="T34" s="118" t="str">
        <f t="shared" si="71"/>
        <v>X</v>
      </c>
      <c r="U34" s="180"/>
      <c r="V34" s="172"/>
      <c r="W34" s="165"/>
      <c r="X34" s="181"/>
      <c r="Y34" s="165"/>
      <c r="Z34" s="296" t="str">
        <f t="shared" si="72"/>
        <v/>
      </c>
      <c r="AA34" s="119"/>
      <c r="AB34" s="412" t="str">
        <f t="shared" si="3"/>
        <v/>
      </c>
      <c r="AC34" s="413">
        <f t="shared" si="73"/>
        <v>0</v>
      </c>
      <c r="AD34" s="296" t="str">
        <f t="shared" si="5"/>
        <v>OK</v>
      </c>
      <c r="AF34" s="428" t="str">
        <f t="shared" si="6"/>
        <v/>
      </c>
      <c r="AG34" s="429">
        <f t="shared" si="74"/>
        <v>0</v>
      </c>
      <c r="AH34" s="317" t="str">
        <f t="shared" si="8"/>
        <v>OK</v>
      </c>
      <c r="AI34" s="46"/>
      <c r="AJ34" s="169" t="str">
        <f t="shared" si="9"/>
        <v/>
      </c>
      <c r="AK34" s="296" t="str">
        <f t="shared" si="10"/>
        <v/>
      </c>
      <c r="AL34" s="296" t="str">
        <f t="shared" si="11"/>
        <v/>
      </c>
      <c r="AM34" s="296" t="str">
        <f t="shared" si="12"/>
        <v/>
      </c>
      <c r="AN34" s="296" t="str">
        <f>IF($AM34="","", IF($AM34="도비","OK",IF($AJ34="세입없음","OK",IF($AJ34="세입번호입력","@@",IF(VLOOKUP($AJ34,'4. 특입'!$AF$6:$AG$1000,2,FALSE)='4. 특출'!$AM34,"OK","@@")))))</f>
        <v/>
      </c>
      <c r="AO34" s="59"/>
      <c r="AP34" s="319"/>
    </row>
    <row r="35" spans="1:43" ht="80.099999999999994" customHeight="1">
      <c r="A35" s="115" t="str">
        <f>IF(D35="","",COUNTA($C$6:C35)-COUNTBLANK($C$6:C35)+6)</f>
        <v/>
      </c>
      <c r="B35" s="116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16" t="str">
        <f>IF(D35="","",IF(OR(D35="교육지원과"),"소방재난본부",VLOOKUP(D35,구분표!$A$3:$C$258,3,)))</f>
        <v/>
      </c>
      <c r="D35" s="173"/>
      <c r="E35" s="161"/>
      <c r="F35" s="323" t="str">
        <f t="shared" si="75"/>
        <v/>
      </c>
      <c r="G35" s="323" t="str">
        <f t="shared" si="75"/>
        <v/>
      </c>
      <c r="H35" s="161"/>
      <c r="I35" s="116" t="str">
        <f>IF(H35="","",VLOOKUP($H35,구분표!$K$3:$M$151,2,FALSE))</f>
        <v/>
      </c>
      <c r="J35" s="116" t="str">
        <f>IF(I35="","",VLOOKUP($H35,구분표!$K$3:$M$151,3,FALSE))</f>
        <v/>
      </c>
      <c r="K35" s="180"/>
      <c r="L35" s="180"/>
      <c r="M35" s="385" t="str">
        <f t="shared" si="76"/>
        <v/>
      </c>
      <c r="N35" s="385" t="str">
        <f t="shared" si="77"/>
        <v/>
      </c>
      <c r="O35" s="387" t="str">
        <f t="shared" si="68"/>
        <v/>
      </c>
      <c r="P35" s="386"/>
      <c r="Q35" s="387">
        <f t="shared" si="69"/>
        <v>0</v>
      </c>
      <c r="R35" s="388"/>
      <c r="S35" s="389">
        <f t="shared" si="70"/>
        <v>0</v>
      </c>
      <c r="T35" s="118" t="str">
        <f t="shared" si="71"/>
        <v>X</v>
      </c>
      <c r="U35" s="180"/>
      <c r="V35" s="172"/>
      <c r="W35" s="165"/>
      <c r="X35" s="181"/>
      <c r="Y35" s="165"/>
      <c r="Z35" s="296" t="str">
        <f t="shared" si="72"/>
        <v/>
      </c>
      <c r="AA35" s="119"/>
      <c r="AB35" s="412" t="str">
        <f t="shared" si="3"/>
        <v/>
      </c>
      <c r="AC35" s="413">
        <f t="shared" si="73"/>
        <v>0</v>
      </c>
      <c r="AD35" s="296" t="str">
        <f t="shared" si="5"/>
        <v>OK</v>
      </c>
      <c r="AF35" s="428" t="str">
        <f t="shared" si="6"/>
        <v/>
      </c>
      <c r="AG35" s="429">
        <f t="shared" si="74"/>
        <v>0</v>
      </c>
      <c r="AH35" s="317" t="str">
        <f t="shared" si="8"/>
        <v>OK</v>
      </c>
      <c r="AI35" s="46"/>
      <c r="AJ35" s="169" t="str">
        <f t="shared" si="9"/>
        <v/>
      </c>
      <c r="AK35" s="296" t="str">
        <f t="shared" si="10"/>
        <v/>
      </c>
      <c r="AL35" s="296" t="str">
        <f t="shared" si="11"/>
        <v/>
      </c>
      <c r="AM35" s="296" t="str">
        <f t="shared" si="12"/>
        <v/>
      </c>
      <c r="AN35" s="296" t="str">
        <f>IF($AM35="","", IF($AM35="도비","OK",IF($AJ35="세입없음","OK",IF($AJ35="세입번호입력","@@",IF(VLOOKUP($AJ35,'4. 특입'!$AF$6:$AG$1000,2,FALSE)='4. 특출'!$AM35,"OK","@@")))))</f>
        <v/>
      </c>
      <c r="AO35" s="59"/>
      <c r="AP35" s="319"/>
    </row>
    <row r="36" spans="1:43" ht="60" customHeight="1">
      <c r="A36" s="125"/>
      <c r="B36" s="666" t="s">
        <v>1031</v>
      </c>
      <c r="C36" s="666"/>
      <c r="D36" s="666"/>
      <c r="E36" s="666"/>
      <c r="F36" s="666"/>
      <c r="G36" s="666"/>
      <c r="H36" s="126"/>
      <c r="I36" s="126"/>
      <c r="J36" s="126"/>
      <c r="K36" s="126"/>
      <c r="L36" s="295" t="str">
        <f>SUBTOTAL(3,L37:L40)&amp;"건"</f>
        <v>0건</v>
      </c>
      <c r="M36" s="403">
        <f t="shared" ref="M36:S36" si="78">SUBTOTAL(9,M37:M40)</f>
        <v>0</v>
      </c>
      <c r="N36" s="403">
        <f t="shared" si="78"/>
        <v>0</v>
      </c>
      <c r="O36" s="403">
        <f t="shared" si="78"/>
        <v>0</v>
      </c>
      <c r="P36" s="403">
        <f t="shared" si="78"/>
        <v>0</v>
      </c>
      <c r="Q36" s="403">
        <f t="shared" si="78"/>
        <v>0</v>
      </c>
      <c r="R36" s="403">
        <f t="shared" si="78"/>
        <v>0</v>
      </c>
      <c r="S36" s="403">
        <f t="shared" si="78"/>
        <v>0</v>
      </c>
      <c r="T36" s="125"/>
      <c r="U36" s="127"/>
      <c r="V36" s="127"/>
      <c r="W36" s="128"/>
      <c r="X36" s="129"/>
      <c r="Y36" s="129"/>
      <c r="Z36" s="71"/>
      <c r="AA36" s="43"/>
      <c r="AB36" s="390">
        <f>SUBTOTAL(9,AB37:AB40)</f>
        <v>0</v>
      </c>
      <c r="AC36" s="390">
        <f>SUBTOTAL(9,AC37:AC40)</f>
        <v>0</v>
      </c>
      <c r="AD36" s="471" t="str">
        <f>IF(COUNTIF(AD37:AD40,"@@")&gt;0,"@@","OK")</f>
        <v>OK</v>
      </c>
      <c r="AF36" s="390">
        <f>SUBTOTAL(9,AF37:AF40)</f>
        <v>0</v>
      </c>
      <c r="AG36" s="390">
        <f>SUBTOTAL(9,AG37:AG40)</f>
        <v>0</v>
      </c>
      <c r="AH36" s="471" t="str">
        <f>IF(COUNTIF(AH37:AH40,"@@")&gt;0,"@@","OK")</f>
        <v>OK</v>
      </c>
      <c r="AI36" s="36"/>
      <c r="AJ36" s="71"/>
      <c r="AK36" s="71"/>
      <c r="AL36" s="471" t="str">
        <f>IF(COUNTIF(AL37:AL40,"@@")&gt;0,"@@","OK")</f>
        <v>OK</v>
      </c>
      <c r="AM36" s="71"/>
      <c r="AN36" s="471" t="str">
        <f>IF(COUNTIF(AN37:AN40,"@@")&gt;0,"@@","OK")</f>
        <v>OK</v>
      </c>
      <c r="AO36" s="36"/>
      <c r="AP36" s="71"/>
    </row>
    <row r="37" spans="1:43" ht="80.099999999999994" customHeight="1">
      <c r="A37" s="115" t="str">
        <f>IF(D37="","",COUNTA($C$6:C37)-COUNTBLANK($C$6:C37)+7)</f>
        <v/>
      </c>
      <c r="B37" s="116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16" t="str">
        <f>IF(D37="","",IF(OR(D37="교육지원과"),"소방재난본부",VLOOKUP(D37,구분표!$A$3:$C$258,3,)))</f>
        <v/>
      </c>
      <c r="D37" s="173"/>
      <c r="E37" s="161"/>
      <c r="F37" s="323" t="str">
        <f>IF($E37="","",IF($E37="2추","직접입력","-"))</f>
        <v/>
      </c>
      <c r="G37" s="323" t="str">
        <f>IF($E37="","",IF($E37="2추","직접입력","-"))</f>
        <v/>
      </c>
      <c r="H37" s="161"/>
      <c r="I37" s="116" t="str">
        <f>IF(H37="","",VLOOKUP($H37,구분표!$K$3:$M$151,2,FALSE))</f>
        <v/>
      </c>
      <c r="J37" s="116" t="str">
        <f>IF(I37="","",VLOOKUP($H37,구분표!$K$3:$M$151,3,FALSE))</f>
        <v/>
      </c>
      <c r="K37" s="180"/>
      <c r="L37" s="180"/>
      <c r="M37" s="385" t="str">
        <f>IF($E37="","",IF(OR($E37="2추", $E37="1추", $E37="본예산"), "금액입력", "-"))</f>
        <v/>
      </c>
      <c r="N37" s="385" t="str">
        <f>IF($E37="", "", IF($E37="2추","금액입력", "-"))</f>
        <v/>
      </c>
      <c r="O37" s="387" t="str">
        <f t="shared" ref="O37:O40" si="79">IF($E37="","",SUM(M37:N37))</f>
        <v/>
      </c>
      <c r="P37" s="386"/>
      <c r="Q37" s="387">
        <f t="shared" ref="Q37:Q40" si="80">SUM(O37:P37)</f>
        <v>0</v>
      </c>
      <c r="R37" s="388"/>
      <c r="S37" s="389">
        <f t="shared" ref="S37:S40" si="81">SUM(O37,R37)</f>
        <v>0</v>
      </c>
      <c r="T37" s="118" t="str">
        <f t="shared" ref="T37:T40" si="82">IF(AND((Q37=0),(S37&gt;0)),"O",IF(AND((P37&lt;0),(Q37-S37&lt;0)),"O","X"))</f>
        <v>X</v>
      </c>
      <c r="U37" s="180"/>
      <c r="V37" s="172"/>
      <c r="W37" s="165"/>
      <c r="X37" s="181"/>
      <c r="Y37" s="165"/>
      <c r="Z37" s="296" t="str">
        <f t="shared" ref="Z37:Z40" si="83">IF($K37="","",IF(COUNT(FIND("국비/",$K37)),"국도비",IF(COUNT(FIND("균특/",$K37)),"국도비",IF(COUNT(FIND("기금/",$K37)),"국도비",IF(COUNT(FIND("교부세/",$K37)),"국도비",IF(COUNT(FIND("소방안전/",$K37)),"국도비",IF(COUNT(FIND("소멸대응/",$K37)),"국도비","도비")))))))</f>
        <v/>
      </c>
      <c r="AA37" s="119"/>
      <c r="AB37" s="412" t="str">
        <f t="shared" si="3"/>
        <v/>
      </c>
      <c r="AC37" s="413">
        <f t="shared" ref="AC37:AC40" si="84">IFERROR(P37-AB37,0)</f>
        <v>0</v>
      </c>
      <c r="AD37" s="296" t="str">
        <f t="shared" si="5"/>
        <v>OK</v>
      </c>
      <c r="AF37" s="428" t="str">
        <f t="shared" si="6"/>
        <v/>
      </c>
      <c r="AG37" s="429">
        <f t="shared" ref="AG37:AG40" si="85">IFERROR(R37-AF37,0)</f>
        <v>0</v>
      </c>
      <c r="AH37" s="317" t="str">
        <f t="shared" si="8"/>
        <v>OK</v>
      </c>
      <c r="AI37" s="46"/>
      <c r="AJ37" s="169" t="str">
        <f t="shared" si="9"/>
        <v/>
      </c>
      <c r="AK37" s="296" t="str">
        <f t="shared" si="10"/>
        <v/>
      </c>
      <c r="AL37" s="296" t="str">
        <f t="shared" si="11"/>
        <v/>
      </c>
      <c r="AM37" s="296" t="str">
        <f t="shared" si="12"/>
        <v/>
      </c>
      <c r="AN37" s="296" t="str">
        <f>IF($AM37="","", IF($AM37="도비","OK",IF($AJ37="세입없음","OK",IF($AJ37="세입번호입력","@@",IF(VLOOKUP($AJ37,'4. 특입'!$AF$6:$AG$1000,2,FALSE)='4. 특출'!$AM37,"OK","@@")))))</f>
        <v/>
      </c>
      <c r="AO37" s="59"/>
      <c r="AP37" s="319"/>
      <c r="AQ37" s="27"/>
    </row>
    <row r="38" spans="1:43" ht="80.099999999999994" customHeight="1">
      <c r="A38" s="115" t="str">
        <f>IF(D38="","",COUNTA($C$6:C38)-COUNTBLANK($C$6:C38)+7)</f>
        <v/>
      </c>
      <c r="B38" s="116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16" t="str">
        <f>IF(D38="","",IF(OR(D38="교육지원과"),"소방재난본부",VLOOKUP(D38,구분표!$A$3:$C$258,3,)))</f>
        <v/>
      </c>
      <c r="D38" s="173"/>
      <c r="E38" s="161"/>
      <c r="F38" s="323" t="str">
        <f t="shared" ref="F38:G40" si="86">IF($E38="","",IF($E38="2추","직접입력","-"))</f>
        <v/>
      </c>
      <c r="G38" s="323" t="str">
        <f t="shared" si="86"/>
        <v/>
      </c>
      <c r="H38" s="161"/>
      <c r="I38" s="116" t="str">
        <f>IF(H38="","",VLOOKUP($H38,구분표!$K$3:$M$151,2,FALSE))</f>
        <v/>
      </c>
      <c r="J38" s="116" t="str">
        <f>IF(I38="","",VLOOKUP($H38,구분표!$K$3:$M$151,3,FALSE))</f>
        <v/>
      </c>
      <c r="K38" s="180"/>
      <c r="L38" s="180"/>
      <c r="M38" s="385" t="str">
        <f t="shared" ref="M38:M40" si="87">IF($E38="","",IF(OR($E38="2추", $E38="1추", $E38="본예산"), "금액입력", "-"))</f>
        <v/>
      </c>
      <c r="N38" s="385" t="str">
        <f t="shared" ref="N38:N40" si="88">IF($E38="", "", IF($E38="2추","금액입력", "-"))</f>
        <v/>
      </c>
      <c r="O38" s="387" t="str">
        <f t="shared" si="79"/>
        <v/>
      </c>
      <c r="P38" s="386"/>
      <c r="Q38" s="387">
        <f t="shared" si="80"/>
        <v>0</v>
      </c>
      <c r="R38" s="388"/>
      <c r="S38" s="389">
        <f t="shared" si="81"/>
        <v>0</v>
      </c>
      <c r="T38" s="118" t="str">
        <f t="shared" si="82"/>
        <v>X</v>
      </c>
      <c r="U38" s="180"/>
      <c r="V38" s="172"/>
      <c r="W38" s="165"/>
      <c r="X38" s="181"/>
      <c r="Y38" s="165"/>
      <c r="Z38" s="296" t="str">
        <f t="shared" si="83"/>
        <v/>
      </c>
      <c r="AA38" s="119"/>
      <c r="AB38" s="412" t="str">
        <f t="shared" si="3"/>
        <v/>
      </c>
      <c r="AC38" s="413">
        <f t="shared" si="84"/>
        <v>0</v>
      </c>
      <c r="AD38" s="296" t="str">
        <f t="shared" si="5"/>
        <v>OK</v>
      </c>
      <c r="AF38" s="428" t="str">
        <f t="shared" si="6"/>
        <v/>
      </c>
      <c r="AG38" s="429">
        <f t="shared" si="85"/>
        <v>0</v>
      </c>
      <c r="AH38" s="317" t="str">
        <f t="shared" si="8"/>
        <v>OK</v>
      </c>
      <c r="AI38" s="46"/>
      <c r="AJ38" s="169" t="str">
        <f t="shared" si="9"/>
        <v/>
      </c>
      <c r="AK38" s="296" t="str">
        <f t="shared" si="10"/>
        <v/>
      </c>
      <c r="AL38" s="296" t="str">
        <f t="shared" si="11"/>
        <v/>
      </c>
      <c r="AM38" s="296" t="str">
        <f t="shared" si="12"/>
        <v/>
      </c>
      <c r="AN38" s="296" t="str">
        <f>IF($AM38="","", IF($AM38="도비","OK",IF($AJ38="세입없음","OK",IF($AJ38="세입번호입력","@@",IF(VLOOKUP($AJ38,'4. 특입'!$AF$6:$AG$1000,2,FALSE)='4. 특출'!$AM38,"OK","@@")))))</f>
        <v/>
      </c>
      <c r="AO38" s="59"/>
      <c r="AP38" s="319"/>
      <c r="AQ38" s="27"/>
    </row>
    <row r="39" spans="1:43" ht="80.099999999999994" customHeight="1">
      <c r="A39" s="115" t="str">
        <f>IF(D39="","",COUNTA($C$6:C39)-COUNTBLANK($C$6:C39)+7)</f>
        <v/>
      </c>
      <c r="B39" s="116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16" t="str">
        <f>IF(D39="","",IF(OR(D39="교육지원과"),"소방재난본부",VLOOKUP(D39,구분표!$A$3:$C$258,3,)))</f>
        <v/>
      </c>
      <c r="D39" s="173"/>
      <c r="E39" s="161"/>
      <c r="F39" s="323" t="str">
        <f t="shared" si="86"/>
        <v/>
      </c>
      <c r="G39" s="323" t="str">
        <f t="shared" si="86"/>
        <v/>
      </c>
      <c r="H39" s="161"/>
      <c r="I39" s="116" t="str">
        <f>IF(H39="","",VLOOKUP($H39,구분표!$K$3:$M$151,2,FALSE))</f>
        <v/>
      </c>
      <c r="J39" s="116" t="str">
        <f>IF(I39="","",VLOOKUP($H39,구분표!$K$3:$M$151,3,FALSE))</f>
        <v/>
      </c>
      <c r="K39" s="180"/>
      <c r="L39" s="180"/>
      <c r="M39" s="385" t="str">
        <f t="shared" si="87"/>
        <v/>
      </c>
      <c r="N39" s="385" t="str">
        <f t="shared" si="88"/>
        <v/>
      </c>
      <c r="O39" s="387" t="str">
        <f t="shared" si="79"/>
        <v/>
      </c>
      <c r="P39" s="386"/>
      <c r="Q39" s="387">
        <f t="shared" si="80"/>
        <v>0</v>
      </c>
      <c r="R39" s="388"/>
      <c r="S39" s="389">
        <f t="shared" si="81"/>
        <v>0</v>
      </c>
      <c r="T39" s="118" t="str">
        <f t="shared" si="82"/>
        <v>X</v>
      </c>
      <c r="U39" s="180"/>
      <c r="V39" s="172"/>
      <c r="W39" s="165"/>
      <c r="X39" s="181"/>
      <c r="Y39" s="165"/>
      <c r="Z39" s="296" t="str">
        <f t="shared" si="83"/>
        <v/>
      </c>
      <c r="AA39" s="119"/>
      <c r="AB39" s="412" t="str">
        <f t="shared" si="3"/>
        <v/>
      </c>
      <c r="AC39" s="413">
        <f t="shared" si="84"/>
        <v>0</v>
      </c>
      <c r="AD39" s="296" t="str">
        <f t="shared" si="5"/>
        <v>OK</v>
      </c>
      <c r="AF39" s="428" t="str">
        <f t="shared" si="6"/>
        <v/>
      </c>
      <c r="AG39" s="429">
        <f t="shared" si="85"/>
        <v>0</v>
      </c>
      <c r="AH39" s="317" t="str">
        <f t="shared" si="8"/>
        <v>OK</v>
      </c>
      <c r="AI39" s="46"/>
      <c r="AJ39" s="169" t="str">
        <f t="shared" si="9"/>
        <v/>
      </c>
      <c r="AK39" s="296" t="str">
        <f t="shared" si="10"/>
        <v/>
      </c>
      <c r="AL39" s="296" t="str">
        <f t="shared" si="11"/>
        <v/>
      </c>
      <c r="AM39" s="296" t="str">
        <f t="shared" si="12"/>
        <v/>
      </c>
      <c r="AN39" s="296" t="str">
        <f>IF($AM39="","", IF($AM39="도비","OK",IF($AJ39="세입없음","OK",IF($AJ39="세입번호입력","@@",IF(VLOOKUP($AJ39,'4. 특입'!$AF$6:$AG$1000,2,FALSE)='4. 특출'!$AM39,"OK","@@")))))</f>
        <v/>
      </c>
      <c r="AO39" s="59"/>
      <c r="AP39" s="319"/>
    </row>
    <row r="40" spans="1:43" ht="80.099999999999994" customHeight="1">
      <c r="A40" s="115" t="str">
        <f>IF(D40="","",COUNTA($C$6:C40)-COUNTBLANK($C$6:C40)+7)</f>
        <v/>
      </c>
      <c r="B40" s="116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16" t="str">
        <f>IF(D40="","",IF(OR(D40="교육지원과"),"소방재난본부",VLOOKUP(D40,구분표!$A$3:$C$258,3,)))</f>
        <v/>
      </c>
      <c r="D40" s="173"/>
      <c r="E40" s="161"/>
      <c r="F40" s="323" t="str">
        <f t="shared" si="86"/>
        <v/>
      </c>
      <c r="G40" s="323" t="str">
        <f t="shared" si="86"/>
        <v/>
      </c>
      <c r="H40" s="161"/>
      <c r="I40" s="116" t="str">
        <f>IF(H40="","",VLOOKUP($H40,구분표!$K$3:$M$151,2,FALSE))</f>
        <v/>
      </c>
      <c r="J40" s="116" t="str">
        <f>IF(I40="","",VLOOKUP($H40,구분표!$K$3:$M$151,3,FALSE))</f>
        <v/>
      </c>
      <c r="K40" s="180"/>
      <c r="L40" s="180"/>
      <c r="M40" s="385" t="str">
        <f t="shared" si="87"/>
        <v/>
      </c>
      <c r="N40" s="385" t="str">
        <f t="shared" si="88"/>
        <v/>
      </c>
      <c r="O40" s="387" t="str">
        <f t="shared" si="79"/>
        <v/>
      </c>
      <c r="P40" s="386"/>
      <c r="Q40" s="387">
        <f t="shared" si="80"/>
        <v>0</v>
      </c>
      <c r="R40" s="388"/>
      <c r="S40" s="389">
        <f t="shared" si="81"/>
        <v>0</v>
      </c>
      <c r="T40" s="118" t="str">
        <f t="shared" si="82"/>
        <v>X</v>
      </c>
      <c r="U40" s="180"/>
      <c r="V40" s="172"/>
      <c r="W40" s="165"/>
      <c r="X40" s="181"/>
      <c r="Y40" s="165"/>
      <c r="Z40" s="296" t="str">
        <f t="shared" si="83"/>
        <v/>
      </c>
      <c r="AA40" s="119"/>
      <c r="AB40" s="412" t="str">
        <f t="shared" si="3"/>
        <v/>
      </c>
      <c r="AC40" s="413">
        <f t="shared" si="84"/>
        <v>0</v>
      </c>
      <c r="AD40" s="296" t="str">
        <f t="shared" si="5"/>
        <v>OK</v>
      </c>
      <c r="AF40" s="428" t="str">
        <f t="shared" si="6"/>
        <v/>
      </c>
      <c r="AG40" s="429">
        <f t="shared" si="85"/>
        <v>0</v>
      </c>
      <c r="AH40" s="317" t="str">
        <f t="shared" si="8"/>
        <v>OK</v>
      </c>
      <c r="AI40" s="46"/>
      <c r="AJ40" s="169" t="str">
        <f t="shared" si="9"/>
        <v/>
      </c>
      <c r="AK40" s="296" t="str">
        <f t="shared" si="10"/>
        <v/>
      </c>
      <c r="AL40" s="296" t="str">
        <f t="shared" si="11"/>
        <v/>
      </c>
      <c r="AM40" s="296" t="str">
        <f t="shared" si="12"/>
        <v/>
      </c>
      <c r="AN40" s="296" t="str">
        <f>IF($AM40="","", IF($AM40="도비","OK",IF($AJ40="세입없음","OK",IF($AJ40="세입번호입력","@@",IF(VLOOKUP($AJ40,'4. 특입'!$AF$6:$AG$1000,2,FALSE)='4. 특출'!$AM40,"OK","@@")))))</f>
        <v/>
      </c>
      <c r="AO40" s="59"/>
      <c r="AP40" s="319"/>
    </row>
    <row r="41" spans="1:43" ht="60" customHeight="1">
      <c r="A41" s="125"/>
      <c r="B41" s="666" t="s">
        <v>772</v>
      </c>
      <c r="C41" s="666"/>
      <c r="D41" s="666"/>
      <c r="E41" s="666"/>
      <c r="F41" s="666"/>
      <c r="G41" s="666"/>
      <c r="H41" s="126"/>
      <c r="I41" s="126"/>
      <c r="J41" s="126"/>
      <c r="K41" s="126"/>
      <c r="L41" s="295" t="str">
        <f>SUBTOTAL(3,L42:L45)&amp;"건"</f>
        <v>0건</v>
      </c>
      <c r="M41" s="403">
        <f t="shared" ref="M41:S41" si="89">SUBTOTAL(9,M42:M45)</f>
        <v>0</v>
      </c>
      <c r="N41" s="403">
        <f t="shared" si="89"/>
        <v>0</v>
      </c>
      <c r="O41" s="403">
        <f t="shared" si="89"/>
        <v>0</v>
      </c>
      <c r="P41" s="403">
        <f t="shared" si="89"/>
        <v>0</v>
      </c>
      <c r="Q41" s="403">
        <f t="shared" si="89"/>
        <v>0</v>
      </c>
      <c r="R41" s="403">
        <f t="shared" si="89"/>
        <v>0</v>
      </c>
      <c r="S41" s="403">
        <f t="shared" si="89"/>
        <v>0</v>
      </c>
      <c r="T41" s="125"/>
      <c r="U41" s="127"/>
      <c r="V41" s="127"/>
      <c r="W41" s="128"/>
      <c r="X41" s="129"/>
      <c r="Y41" s="129"/>
      <c r="Z41" s="71"/>
      <c r="AA41" s="43"/>
      <c r="AB41" s="390">
        <f>SUBTOTAL(9,AB42:AB45)</f>
        <v>0</v>
      </c>
      <c r="AC41" s="390">
        <f>SUBTOTAL(9,AC42:AC45)</f>
        <v>0</v>
      </c>
      <c r="AD41" s="471" t="str">
        <f>IF(COUNTIF(AD42:AD45,"@@")&gt;0,"@@","OK")</f>
        <v>OK</v>
      </c>
      <c r="AF41" s="390">
        <f>SUBTOTAL(9,AF42:AF45)</f>
        <v>0</v>
      </c>
      <c r="AG41" s="390">
        <f>SUBTOTAL(9,AG42:AG45)</f>
        <v>0</v>
      </c>
      <c r="AH41" s="471" t="str">
        <f>IF(COUNTIF(AH42:AH45,"@@")&gt;0,"@@","OK")</f>
        <v>OK</v>
      </c>
      <c r="AI41" s="36"/>
      <c r="AJ41" s="71"/>
      <c r="AK41" s="71"/>
      <c r="AL41" s="471" t="str">
        <f>IF(COUNTIF(AL42:AL45,"@@")&gt;0,"@@","OK")</f>
        <v>OK</v>
      </c>
      <c r="AM41" s="71"/>
      <c r="AN41" s="471" t="str">
        <f>IF(COUNTIF(AN42:AN45,"@@")&gt;0,"@@","OK")</f>
        <v>OK</v>
      </c>
      <c r="AO41" s="36"/>
      <c r="AP41" s="71"/>
    </row>
    <row r="42" spans="1:43" ht="80.099999999999994" customHeight="1">
      <c r="A42" s="115" t="str">
        <f>IF(D42="","",COUNTA($C$6:C42)-COUNTBLANK($C$6:C42)+8)</f>
        <v/>
      </c>
      <c r="B42" s="116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16" t="str">
        <f>IF(D42="","",IF(OR(D42="교육지원과"),"소방재난본부",VLOOKUP(D42,구분표!$A$3:$C$258,3,)))</f>
        <v/>
      </c>
      <c r="D42" s="173"/>
      <c r="E42" s="161"/>
      <c r="F42" s="323" t="str">
        <f>IF($E42="","",IF($E42="2추","직접입력","-"))</f>
        <v/>
      </c>
      <c r="G42" s="323" t="str">
        <f>IF($E42="","",IF($E42="2추","직접입력","-"))</f>
        <v/>
      </c>
      <c r="H42" s="161"/>
      <c r="I42" s="116" t="str">
        <f>IF(H42="","",VLOOKUP($H42,구분표!$K$3:$M$151,2,FALSE))</f>
        <v/>
      </c>
      <c r="J42" s="116" t="str">
        <f>IF(I42="","",VLOOKUP($H42,구분표!$K$3:$M$151,3,FALSE))</f>
        <v/>
      </c>
      <c r="K42" s="180"/>
      <c r="L42" s="180"/>
      <c r="M42" s="385" t="str">
        <f>IF($E42="","",IF(OR($E42="2추", $E42="1추", $E42="본예산"), "금액입력", "-"))</f>
        <v/>
      </c>
      <c r="N42" s="385" t="str">
        <f>IF($E42="", "", IF($E42="2추","금액입력", "-"))</f>
        <v/>
      </c>
      <c r="O42" s="387" t="str">
        <f t="shared" ref="O42:O45" si="90">IF($E42="","",SUM(M42:N42))</f>
        <v/>
      </c>
      <c r="P42" s="386"/>
      <c r="Q42" s="387">
        <f t="shared" ref="Q42:Q45" si="91">SUM(O42:P42)</f>
        <v>0</v>
      </c>
      <c r="R42" s="388"/>
      <c r="S42" s="389">
        <f t="shared" ref="S42:S45" si="92">SUM(O42,R42)</f>
        <v>0</v>
      </c>
      <c r="T42" s="118" t="str">
        <f t="shared" ref="T42:T45" si="93">IF(AND((Q42=0),(S42&gt;0)),"O",IF(AND((P42&lt;0),(Q42-S42&lt;0)),"O","X"))</f>
        <v>X</v>
      </c>
      <c r="U42" s="180"/>
      <c r="V42" s="172"/>
      <c r="W42" s="165"/>
      <c r="X42" s="181"/>
      <c r="Y42" s="165"/>
      <c r="Z42" s="296" t="str">
        <f t="shared" ref="Z42:Z45" si="94">IF($K42="","",IF(COUNT(FIND("국비/",$K42)),"국도비",IF(COUNT(FIND("균특/",$K42)),"국도비",IF(COUNT(FIND("기금/",$K42)),"국도비",IF(COUNT(FIND("교부세/",$K42)),"국도비",IF(COUNT(FIND("소방안전/",$K42)),"국도비",IF(COUNT(FIND("소멸대응/",$K42)),"국도비","도비")))))))</f>
        <v/>
      </c>
      <c r="AA42" s="119"/>
      <c r="AB42" s="412" t="str">
        <f t="shared" si="3"/>
        <v/>
      </c>
      <c r="AC42" s="413">
        <f t="shared" ref="AC42:AC45" si="95">IFERROR(P42-AB42,0)</f>
        <v>0</v>
      </c>
      <c r="AD42" s="296" t="str">
        <f t="shared" si="5"/>
        <v>OK</v>
      </c>
      <c r="AF42" s="428" t="str">
        <f t="shared" si="6"/>
        <v/>
      </c>
      <c r="AG42" s="429">
        <f t="shared" ref="AG42:AG45" si="96">IFERROR(R42-AF42,0)</f>
        <v>0</v>
      </c>
      <c r="AH42" s="317" t="str">
        <f t="shared" si="8"/>
        <v>OK</v>
      </c>
      <c r="AI42" s="46"/>
      <c r="AJ42" s="169" t="str">
        <f t="shared" si="9"/>
        <v/>
      </c>
      <c r="AK42" s="296" t="str">
        <f t="shared" si="10"/>
        <v/>
      </c>
      <c r="AL42" s="296" t="str">
        <f t="shared" si="11"/>
        <v/>
      </c>
      <c r="AM42" s="296" t="str">
        <f t="shared" si="12"/>
        <v/>
      </c>
      <c r="AN42" s="296" t="str">
        <f>IF($AM42="","", IF($AM42="도비","OK",IF($AJ42="세입없음","OK",IF($AJ42="세입번호입력","@@",IF(VLOOKUP($AJ42,'4. 특입'!$AF$6:$AG$1000,2,FALSE)='4. 특출'!$AM42,"OK","@@")))))</f>
        <v/>
      </c>
      <c r="AO42" s="59"/>
      <c r="AP42" s="319"/>
      <c r="AQ42" s="27"/>
    </row>
    <row r="43" spans="1:43" ht="80.099999999999994" customHeight="1">
      <c r="A43" s="115" t="str">
        <f>IF(D43="","",COUNTA($C$6:C43)-COUNTBLANK($C$6:C43)+8)</f>
        <v/>
      </c>
      <c r="B43" s="116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16" t="str">
        <f>IF(D43="","",IF(OR(D43="교육지원과"),"소방재난본부",VLOOKUP(D43,구분표!$A$3:$C$258,3,)))</f>
        <v/>
      </c>
      <c r="D43" s="173"/>
      <c r="E43" s="161"/>
      <c r="F43" s="323" t="str">
        <f t="shared" ref="F43:G45" si="97">IF($E43="","",IF($E43="2추","직접입력","-"))</f>
        <v/>
      </c>
      <c r="G43" s="323" t="str">
        <f t="shared" si="97"/>
        <v/>
      </c>
      <c r="H43" s="161"/>
      <c r="I43" s="116" t="str">
        <f>IF(H43="","",VLOOKUP($H43,구분표!$K$3:$M$151,2,FALSE))</f>
        <v/>
      </c>
      <c r="J43" s="116" t="str">
        <f>IF(I43="","",VLOOKUP($H43,구분표!$K$3:$M$151,3,FALSE))</f>
        <v/>
      </c>
      <c r="K43" s="180"/>
      <c r="L43" s="180"/>
      <c r="M43" s="385" t="str">
        <f t="shared" ref="M43:M45" si="98">IF($E43="","",IF(OR($E43="2추", $E43="1추", $E43="본예산"), "금액입력", "-"))</f>
        <v/>
      </c>
      <c r="N43" s="385" t="str">
        <f t="shared" ref="N43:N45" si="99">IF($E43="", "", IF($E43="2추","금액입력", "-"))</f>
        <v/>
      </c>
      <c r="O43" s="387" t="str">
        <f t="shared" si="90"/>
        <v/>
      </c>
      <c r="P43" s="386"/>
      <c r="Q43" s="387">
        <f t="shared" si="91"/>
        <v>0</v>
      </c>
      <c r="R43" s="388"/>
      <c r="S43" s="389">
        <f t="shared" si="92"/>
        <v>0</v>
      </c>
      <c r="T43" s="118" t="str">
        <f t="shared" si="93"/>
        <v>X</v>
      </c>
      <c r="U43" s="180"/>
      <c r="V43" s="172"/>
      <c r="W43" s="165"/>
      <c r="X43" s="181"/>
      <c r="Y43" s="165"/>
      <c r="Z43" s="296" t="str">
        <f t="shared" si="94"/>
        <v/>
      </c>
      <c r="AA43" s="119"/>
      <c r="AB43" s="412" t="str">
        <f t="shared" si="3"/>
        <v/>
      </c>
      <c r="AC43" s="413">
        <f t="shared" si="95"/>
        <v>0</v>
      </c>
      <c r="AD43" s="296" t="str">
        <f t="shared" si="5"/>
        <v>OK</v>
      </c>
      <c r="AF43" s="428" t="str">
        <f t="shared" si="6"/>
        <v/>
      </c>
      <c r="AG43" s="429">
        <f t="shared" si="96"/>
        <v>0</v>
      </c>
      <c r="AH43" s="317" t="str">
        <f t="shared" si="8"/>
        <v>OK</v>
      </c>
      <c r="AI43" s="46"/>
      <c r="AJ43" s="169" t="str">
        <f t="shared" si="9"/>
        <v/>
      </c>
      <c r="AK43" s="296" t="str">
        <f t="shared" si="10"/>
        <v/>
      </c>
      <c r="AL43" s="296" t="str">
        <f t="shared" si="11"/>
        <v/>
      </c>
      <c r="AM43" s="296" t="str">
        <f t="shared" si="12"/>
        <v/>
      </c>
      <c r="AN43" s="296" t="str">
        <f>IF($AM43="","", IF($AM43="도비","OK",IF($AJ43="세입없음","OK",IF($AJ43="세입번호입력","@@",IF(VLOOKUP($AJ43,'4. 특입'!$AF$6:$AG$1000,2,FALSE)='4. 특출'!$AM43,"OK","@@")))))</f>
        <v/>
      </c>
      <c r="AO43" s="59"/>
      <c r="AP43" s="319"/>
      <c r="AQ43" s="27"/>
    </row>
    <row r="44" spans="1:43" ht="80.099999999999994" customHeight="1">
      <c r="A44" s="115" t="str">
        <f>IF(D44="","",COUNTA($C$6:C44)-COUNTBLANK($C$6:C44)+8)</f>
        <v/>
      </c>
      <c r="B44" s="116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16" t="str">
        <f>IF(D44="","",IF(OR(D44="교육지원과"),"소방재난본부",VLOOKUP(D44,구분표!$A$3:$C$258,3,)))</f>
        <v/>
      </c>
      <c r="D44" s="173"/>
      <c r="E44" s="161"/>
      <c r="F44" s="323" t="str">
        <f t="shared" si="97"/>
        <v/>
      </c>
      <c r="G44" s="323" t="str">
        <f t="shared" si="97"/>
        <v/>
      </c>
      <c r="H44" s="161"/>
      <c r="I44" s="116" t="str">
        <f>IF(H44="","",VLOOKUP($H44,구분표!$K$3:$M$151,2,FALSE))</f>
        <v/>
      </c>
      <c r="J44" s="116" t="str">
        <f>IF(I44="","",VLOOKUP($H44,구분표!$K$3:$M$151,3,FALSE))</f>
        <v/>
      </c>
      <c r="K44" s="180"/>
      <c r="L44" s="180"/>
      <c r="M44" s="385" t="str">
        <f t="shared" si="98"/>
        <v/>
      </c>
      <c r="N44" s="385" t="str">
        <f t="shared" si="99"/>
        <v/>
      </c>
      <c r="O44" s="387" t="str">
        <f t="shared" si="90"/>
        <v/>
      </c>
      <c r="P44" s="386"/>
      <c r="Q44" s="387">
        <f t="shared" si="91"/>
        <v>0</v>
      </c>
      <c r="R44" s="388"/>
      <c r="S44" s="389">
        <f t="shared" si="92"/>
        <v>0</v>
      </c>
      <c r="T44" s="118" t="str">
        <f t="shared" si="93"/>
        <v>X</v>
      </c>
      <c r="U44" s="180"/>
      <c r="V44" s="172"/>
      <c r="W44" s="165"/>
      <c r="X44" s="181"/>
      <c r="Y44" s="165"/>
      <c r="Z44" s="296" t="str">
        <f t="shared" si="94"/>
        <v/>
      </c>
      <c r="AA44" s="119"/>
      <c r="AB44" s="412" t="str">
        <f t="shared" si="3"/>
        <v/>
      </c>
      <c r="AC44" s="413">
        <f t="shared" si="95"/>
        <v>0</v>
      </c>
      <c r="AD44" s="296" t="str">
        <f t="shared" si="5"/>
        <v>OK</v>
      </c>
      <c r="AF44" s="428" t="str">
        <f t="shared" si="6"/>
        <v/>
      </c>
      <c r="AG44" s="429">
        <f t="shared" si="96"/>
        <v>0</v>
      </c>
      <c r="AH44" s="317" t="str">
        <f t="shared" si="8"/>
        <v>OK</v>
      </c>
      <c r="AI44" s="46"/>
      <c r="AJ44" s="169" t="str">
        <f t="shared" si="9"/>
        <v/>
      </c>
      <c r="AK44" s="296" t="str">
        <f t="shared" si="10"/>
        <v/>
      </c>
      <c r="AL44" s="296" t="str">
        <f t="shared" si="11"/>
        <v/>
      </c>
      <c r="AM44" s="296" t="str">
        <f t="shared" si="12"/>
        <v/>
      </c>
      <c r="AN44" s="296" t="str">
        <f>IF($AM44="","", IF($AM44="도비","OK",IF($AJ44="세입없음","OK",IF($AJ44="세입번호입력","@@",IF(VLOOKUP($AJ44,'4. 특입'!$AF$6:$AG$1000,2,FALSE)='4. 특출'!$AM44,"OK","@@")))))</f>
        <v/>
      </c>
      <c r="AO44" s="59"/>
      <c r="AP44" s="319"/>
    </row>
    <row r="45" spans="1:43" ht="80.099999999999994" customHeight="1">
      <c r="A45" s="115" t="str">
        <f>IF(D45="","",COUNTA($C$6:C45)-COUNTBLANK($C$6:C45)+8)</f>
        <v/>
      </c>
      <c r="B45" s="116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16" t="str">
        <f>IF(D45="","",IF(OR(D45="교육지원과"),"소방재난본부",VLOOKUP(D45,구분표!$A$3:$C$258,3,)))</f>
        <v/>
      </c>
      <c r="D45" s="173"/>
      <c r="E45" s="161"/>
      <c r="F45" s="323" t="str">
        <f t="shared" si="97"/>
        <v/>
      </c>
      <c r="G45" s="323" t="str">
        <f t="shared" si="97"/>
        <v/>
      </c>
      <c r="H45" s="161"/>
      <c r="I45" s="116" t="str">
        <f>IF(H45="","",VLOOKUP($H45,구분표!$K$3:$M$151,2,FALSE))</f>
        <v/>
      </c>
      <c r="J45" s="116" t="str">
        <f>IF(I45="","",VLOOKUP($H45,구분표!$K$3:$M$151,3,FALSE))</f>
        <v/>
      </c>
      <c r="K45" s="180"/>
      <c r="L45" s="180"/>
      <c r="M45" s="385" t="str">
        <f t="shared" si="98"/>
        <v/>
      </c>
      <c r="N45" s="385" t="str">
        <f t="shared" si="99"/>
        <v/>
      </c>
      <c r="O45" s="387" t="str">
        <f t="shared" si="90"/>
        <v/>
      </c>
      <c r="P45" s="386"/>
      <c r="Q45" s="387">
        <f t="shared" si="91"/>
        <v>0</v>
      </c>
      <c r="R45" s="388"/>
      <c r="S45" s="389">
        <f t="shared" si="92"/>
        <v>0</v>
      </c>
      <c r="T45" s="118" t="str">
        <f t="shared" si="93"/>
        <v>X</v>
      </c>
      <c r="U45" s="180"/>
      <c r="V45" s="172"/>
      <c r="W45" s="165"/>
      <c r="X45" s="181"/>
      <c r="Y45" s="165"/>
      <c r="Z45" s="296" t="str">
        <f t="shared" si="94"/>
        <v/>
      </c>
      <c r="AA45" s="119"/>
      <c r="AB45" s="412" t="str">
        <f t="shared" si="3"/>
        <v/>
      </c>
      <c r="AC45" s="413">
        <f t="shared" si="95"/>
        <v>0</v>
      </c>
      <c r="AD45" s="296" t="str">
        <f t="shared" si="5"/>
        <v>OK</v>
      </c>
      <c r="AF45" s="428" t="str">
        <f t="shared" si="6"/>
        <v/>
      </c>
      <c r="AG45" s="429">
        <f t="shared" si="96"/>
        <v>0</v>
      </c>
      <c r="AH45" s="317" t="str">
        <f t="shared" si="8"/>
        <v>OK</v>
      </c>
      <c r="AI45" s="46"/>
      <c r="AJ45" s="169" t="str">
        <f t="shared" si="9"/>
        <v/>
      </c>
      <c r="AK45" s="296" t="str">
        <f t="shared" si="10"/>
        <v/>
      </c>
      <c r="AL45" s="296" t="str">
        <f t="shared" si="11"/>
        <v/>
      </c>
      <c r="AM45" s="296" t="str">
        <f t="shared" si="12"/>
        <v/>
      </c>
      <c r="AN45" s="296" t="str">
        <f>IF($AM45="","", IF($AM45="도비","OK",IF($AJ45="세입없음","OK",IF($AJ45="세입번호입력","@@",IF(VLOOKUP($AJ45,'4. 특입'!$AF$6:$AG$1000,2,FALSE)='4. 특출'!$AM45,"OK","@@")))))</f>
        <v/>
      </c>
      <c r="AO45" s="59"/>
      <c r="AP45" s="319"/>
    </row>
    <row r="46" spans="1:43" ht="60" customHeight="1">
      <c r="A46" s="125"/>
      <c r="B46" s="666" t="s">
        <v>771</v>
      </c>
      <c r="C46" s="666"/>
      <c r="D46" s="666"/>
      <c r="E46" s="666"/>
      <c r="F46" s="666"/>
      <c r="G46" s="666"/>
      <c r="H46" s="126"/>
      <c r="I46" s="126"/>
      <c r="J46" s="126"/>
      <c r="K46" s="126"/>
      <c r="L46" s="295" t="str">
        <f>SUBTOTAL(3,L47:L50)&amp;"건"</f>
        <v>0건</v>
      </c>
      <c r="M46" s="403">
        <f t="shared" ref="M46:S46" si="100">SUBTOTAL(9,M47:M50)</f>
        <v>0</v>
      </c>
      <c r="N46" s="403">
        <f t="shared" si="100"/>
        <v>0</v>
      </c>
      <c r="O46" s="403">
        <f t="shared" si="100"/>
        <v>0</v>
      </c>
      <c r="P46" s="403">
        <f t="shared" si="100"/>
        <v>0</v>
      </c>
      <c r="Q46" s="403">
        <f t="shared" si="100"/>
        <v>0</v>
      </c>
      <c r="R46" s="403">
        <f t="shared" si="100"/>
        <v>0</v>
      </c>
      <c r="S46" s="403">
        <f t="shared" si="100"/>
        <v>0</v>
      </c>
      <c r="T46" s="125"/>
      <c r="U46" s="127"/>
      <c r="V46" s="127"/>
      <c r="W46" s="128"/>
      <c r="X46" s="129"/>
      <c r="Y46" s="129"/>
      <c r="Z46" s="71"/>
      <c r="AA46" s="43"/>
      <c r="AB46" s="390">
        <f>SUBTOTAL(9,AB47:AB50)</f>
        <v>0</v>
      </c>
      <c r="AC46" s="390">
        <f>SUBTOTAL(9,AC47:AC50)</f>
        <v>0</v>
      </c>
      <c r="AD46" s="471" t="str">
        <f>IF(COUNTIF(AD47:AD50,"@@")&gt;0,"@@","OK")</f>
        <v>OK</v>
      </c>
      <c r="AF46" s="390">
        <f>SUBTOTAL(9,AF47:AF50)</f>
        <v>0</v>
      </c>
      <c r="AG46" s="390">
        <f>SUBTOTAL(9,AG47:AG50)</f>
        <v>0</v>
      </c>
      <c r="AH46" s="471" t="str">
        <f>IF(COUNTIF(AH47:AH50,"@@")&gt;0,"@@","OK")</f>
        <v>OK</v>
      </c>
      <c r="AI46" s="36"/>
      <c r="AJ46" s="71"/>
      <c r="AK46" s="71"/>
      <c r="AL46" s="471" t="str">
        <f>IF(COUNTIF(AL47:AL50,"@@")&gt;0,"@@","OK")</f>
        <v>OK</v>
      </c>
      <c r="AM46" s="71"/>
      <c r="AN46" s="471" t="str">
        <f>IF(COUNTIF(AN47:AN50,"@@")&gt;0,"@@","OK")</f>
        <v>OK</v>
      </c>
      <c r="AO46" s="36"/>
      <c r="AP46" s="71"/>
    </row>
    <row r="47" spans="1:43" ht="80.099999999999994" customHeight="1">
      <c r="A47" s="115" t="str">
        <f>IF(D47="","",COUNTA($C$6:C47)-COUNTBLANK($C$6:C47)+9)</f>
        <v/>
      </c>
      <c r="B47" s="116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16" t="str">
        <f>IF(D47="","",IF(OR(D47="교육지원과"),"소방재난본부",VLOOKUP(D47,구분표!$A$3:$C$258,3,)))</f>
        <v/>
      </c>
      <c r="D47" s="173"/>
      <c r="E47" s="161"/>
      <c r="F47" s="323" t="str">
        <f>IF($E47="","",IF($E47="2추","직접입력","-"))</f>
        <v/>
      </c>
      <c r="G47" s="323" t="str">
        <f>IF($E47="","",IF($E47="2추","직접입력","-"))</f>
        <v/>
      </c>
      <c r="H47" s="161"/>
      <c r="I47" s="116" t="str">
        <f>IF(H47="","",VLOOKUP($H47,구분표!$K$3:$M$151,2,FALSE))</f>
        <v/>
      </c>
      <c r="J47" s="116" t="str">
        <f>IF(I47="","",VLOOKUP($H47,구분표!$K$3:$M$151,3,FALSE))</f>
        <v/>
      </c>
      <c r="K47" s="180"/>
      <c r="L47" s="180"/>
      <c r="M47" s="385" t="str">
        <f>IF($E47="","",IF(OR($E47="2추", $E47="1추", $E47="본예산"), "금액입력", "-"))</f>
        <v/>
      </c>
      <c r="N47" s="385" t="str">
        <f>IF($E47="", "", IF($E47="2추","금액입력", "-"))</f>
        <v/>
      </c>
      <c r="O47" s="387" t="str">
        <f t="shared" ref="O47:O50" si="101">IF($E47="","",SUM(M47:N47))</f>
        <v/>
      </c>
      <c r="P47" s="386"/>
      <c r="Q47" s="387">
        <f t="shared" ref="Q47:Q50" si="102">SUM(O47:P47)</f>
        <v>0</v>
      </c>
      <c r="R47" s="388"/>
      <c r="S47" s="389">
        <f t="shared" ref="S47:S50" si="103">SUM(O47,R47)</f>
        <v>0</v>
      </c>
      <c r="T47" s="118" t="str">
        <f t="shared" ref="T47:T50" si="104">IF(AND((Q47=0),(S47&gt;0)),"O",IF(AND((P47&lt;0),(Q47-S47&lt;0)),"O","X"))</f>
        <v>X</v>
      </c>
      <c r="U47" s="180"/>
      <c r="V47" s="172"/>
      <c r="W47" s="165"/>
      <c r="X47" s="181"/>
      <c r="Y47" s="165"/>
      <c r="Z47" s="296" t="str">
        <f t="shared" ref="Z47:Z50" si="105">IF($K47="","",IF(COUNT(FIND("국비/",$K47)),"국도비",IF(COUNT(FIND("균특/",$K47)),"국도비",IF(COUNT(FIND("기금/",$K47)),"국도비",IF(COUNT(FIND("교부세/",$K47)),"국도비",IF(COUNT(FIND("소방안전/",$K47)),"국도비",IF(COUNT(FIND("소멸대응/",$K47)),"국도비","도비")))))))</f>
        <v/>
      </c>
      <c r="AA47" s="119"/>
      <c r="AB47" s="412" t="str">
        <f t="shared" si="3"/>
        <v/>
      </c>
      <c r="AC47" s="413">
        <f t="shared" ref="AC47:AC50" si="106">IFERROR(P47-AB47,0)</f>
        <v>0</v>
      </c>
      <c r="AD47" s="296" t="str">
        <f t="shared" si="5"/>
        <v>OK</v>
      </c>
      <c r="AF47" s="428" t="str">
        <f t="shared" si="6"/>
        <v/>
      </c>
      <c r="AG47" s="429">
        <f t="shared" ref="AG47:AG50" si="107">IFERROR(R47-AF47,0)</f>
        <v>0</v>
      </c>
      <c r="AH47" s="317" t="str">
        <f t="shared" si="8"/>
        <v>OK</v>
      </c>
      <c r="AI47" s="46"/>
      <c r="AJ47" s="169" t="str">
        <f t="shared" si="9"/>
        <v/>
      </c>
      <c r="AK47" s="296" t="str">
        <f t="shared" si="10"/>
        <v/>
      </c>
      <c r="AL47" s="296" t="str">
        <f t="shared" si="11"/>
        <v/>
      </c>
      <c r="AM47" s="296" t="str">
        <f t="shared" si="12"/>
        <v/>
      </c>
      <c r="AN47" s="296" t="str">
        <f>IF($AM47="","", IF($AM47="도비","OK",IF($AJ47="세입없음","OK",IF($AJ47="세입번호입력","@@",IF(VLOOKUP($AJ47,'4. 특입'!$AF$6:$AG$1000,2,FALSE)='4. 특출'!$AM47,"OK","@@")))))</f>
        <v/>
      </c>
      <c r="AO47" s="59"/>
      <c r="AP47" s="319"/>
      <c r="AQ47" s="27"/>
    </row>
    <row r="48" spans="1:43" ht="80.099999999999994" customHeight="1">
      <c r="A48" s="115" t="str">
        <f>IF(D48="","",COUNTA($C$6:C48)-COUNTBLANK($C$6:C48)+9)</f>
        <v/>
      </c>
      <c r="B48" s="116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16" t="str">
        <f>IF(D48="","",IF(OR(D48="교육지원과"),"소방재난본부",VLOOKUP(D48,구분표!$A$3:$C$258,3,)))</f>
        <v/>
      </c>
      <c r="D48" s="173"/>
      <c r="E48" s="161"/>
      <c r="F48" s="323" t="str">
        <f t="shared" ref="F48:G50" si="108">IF($E48="","",IF($E48="2추","직접입력","-"))</f>
        <v/>
      </c>
      <c r="G48" s="323" t="str">
        <f t="shared" si="108"/>
        <v/>
      </c>
      <c r="H48" s="161"/>
      <c r="I48" s="116" t="str">
        <f>IF(H48="","",VLOOKUP($H48,구분표!$K$3:$M$151,2,FALSE))</f>
        <v/>
      </c>
      <c r="J48" s="116" t="str">
        <f>IF(I48="","",VLOOKUP($H48,구분표!$K$3:$M$151,3,FALSE))</f>
        <v/>
      </c>
      <c r="K48" s="180"/>
      <c r="L48" s="180"/>
      <c r="M48" s="385" t="str">
        <f t="shared" ref="M48:M50" si="109">IF($E48="","",IF(OR($E48="2추", $E48="1추", $E48="본예산"), "금액입력", "-"))</f>
        <v/>
      </c>
      <c r="N48" s="385" t="str">
        <f t="shared" ref="N48:N50" si="110">IF($E48="", "", IF($E48="2추","금액입력", "-"))</f>
        <v/>
      </c>
      <c r="O48" s="387" t="str">
        <f t="shared" si="101"/>
        <v/>
      </c>
      <c r="P48" s="386"/>
      <c r="Q48" s="387">
        <f t="shared" si="102"/>
        <v>0</v>
      </c>
      <c r="R48" s="388"/>
      <c r="S48" s="389">
        <f t="shared" si="103"/>
        <v>0</v>
      </c>
      <c r="T48" s="118" t="str">
        <f t="shared" si="104"/>
        <v>X</v>
      </c>
      <c r="U48" s="180"/>
      <c r="V48" s="172"/>
      <c r="W48" s="165"/>
      <c r="X48" s="181"/>
      <c r="Y48" s="165"/>
      <c r="Z48" s="296" t="str">
        <f t="shared" si="105"/>
        <v/>
      </c>
      <c r="AA48" s="119"/>
      <c r="AB48" s="412" t="str">
        <f t="shared" si="3"/>
        <v/>
      </c>
      <c r="AC48" s="413">
        <f t="shared" si="106"/>
        <v>0</v>
      </c>
      <c r="AD48" s="296" t="str">
        <f t="shared" si="5"/>
        <v>OK</v>
      </c>
      <c r="AF48" s="428" t="str">
        <f t="shared" si="6"/>
        <v/>
      </c>
      <c r="AG48" s="429">
        <f t="shared" si="107"/>
        <v>0</v>
      </c>
      <c r="AH48" s="317" t="str">
        <f t="shared" si="8"/>
        <v>OK</v>
      </c>
      <c r="AI48" s="46"/>
      <c r="AJ48" s="169" t="str">
        <f t="shared" si="9"/>
        <v/>
      </c>
      <c r="AK48" s="296" t="str">
        <f t="shared" si="10"/>
        <v/>
      </c>
      <c r="AL48" s="296" t="str">
        <f t="shared" si="11"/>
        <v/>
      </c>
      <c r="AM48" s="296" t="str">
        <f t="shared" si="12"/>
        <v/>
      </c>
      <c r="AN48" s="296" t="str">
        <f>IF($AM48="","", IF($AM48="도비","OK",IF($AJ48="세입없음","OK",IF($AJ48="세입번호입력","@@",IF(VLOOKUP($AJ48,'4. 특입'!$AF$6:$AG$1000,2,FALSE)='4. 특출'!$AM48,"OK","@@")))))</f>
        <v/>
      </c>
      <c r="AO48" s="59"/>
      <c r="AP48" s="319"/>
      <c r="AQ48" s="27"/>
    </row>
    <row r="49" spans="1:42" ht="80.099999999999994" customHeight="1">
      <c r="A49" s="115" t="str">
        <f>IF(D49="","",COUNTA($C$6:C49)-COUNTBLANK($C$6:C49)+9)</f>
        <v/>
      </c>
      <c r="B49" s="116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16" t="str">
        <f>IF(D49="","",IF(OR(D49="교육지원과"),"소방재난본부",VLOOKUP(D49,구분표!$A$3:$C$258,3,)))</f>
        <v/>
      </c>
      <c r="D49" s="173"/>
      <c r="E49" s="161"/>
      <c r="F49" s="323" t="str">
        <f t="shared" si="108"/>
        <v/>
      </c>
      <c r="G49" s="323" t="str">
        <f t="shared" si="108"/>
        <v/>
      </c>
      <c r="H49" s="161"/>
      <c r="I49" s="116" t="str">
        <f>IF(H49="","",VLOOKUP($H49,구분표!$K$3:$M$151,2,FALSE))</f>
        <v/>
      </c>
      <c r="J49" s="116" t="str">
        <f>IF(I49="","",VLOOKUP($H49,구분표!$K$3:$M$151,3,FALSE))</f>
        <v/>
      </c>
      <c r="K49" s="180"/>
      <c r="L49" s="180"/>
      <c r="M49" s="385" t="str">
        <f t="shared" si="109"/>
        <v/>
      </c>
      <c r="N49" s="385" t="str">
        <f t="shared" si="110"/>
        <v/>
      </c>
      <c r="O49" s="387" t="str">
        <f t="shared" si="101"/>
        <v/>
      </c>
      <c r="P49" s="386"/>
      <c r="Q49" s="387">
        <f t="shared" si="102"/>
        <v>0</v>
      </c>
      <c r="R49" s="388"/>
      <c r="S49" s="389">
        <f t="shared" si="103"/>
        <v>0</v>
      </c>
      <c r="T49" s="118" t="str">
        <f t="shared" si="104"/>
        <v>X</v>
      </c>
      <c r="U49" s="180"/>
      <c r="V49" s="172"/>
      <c r="W49" s="165"/>
      <c r="X49" s="181"/>
      <c r="Y49" s="165"/>
      <c r="Z49" s="296" t="str">
        <f t="shared" si="105"/>
        <v/>
      </c>
      <c r="AA49" s="119"/>
      <c r="AB49" s="412" t="str">
        <f t="shared" si="3"/>
        <v/>
      </c>
      <c r="AC49" s="413">
        <f t="shared" si="106"/>
        <v>0</v>
      </c>
      <c r="AD49" s="296" t="str">
        <f t="shared" si="5"/>
        <v>OK</v>
      </c>
      <c r="AF49" s="428" t="str">
        <f t="shared" si="6"/>
        <v/>
      </c>
      <c r="AG49" s="429">
        <f t="shared" si="107"/>
        <v>0</v>
      </c>
      <c r="AH49" s="317" t="str">
        <f t="shared" si="8"/>
        <v>OK</v>
      </c>
      <c r="AI49" s="46"/>
      <c r="AJ49" s="169" t="str">
        <f t="shared" si="9"/>
        <v/>
      </c>
      <c r="AK49" s="296" t="str">
        <f t="shared" si="10"/>
        <v/>
      </c>
      <c r="AL49" s="296" t="str">
        <f t="shared" si="11"/>
        <v/>
      </c>
      <c r="AM49" s="296" t="str">
        <f t="shared" si="12"/>
        <v/>
      </c>
      <c r="AN49" s="296" t="str">
        <f>IF($AM49="","", IF($AM49="도비","OK",IF($AJ49="세입없음","OK",IF($AJ49="세입번호입력","@@",IF(VLOOKUP($AJ49,'4. 특입'!$AF$6:$AG$1000,2,FALSE)='4. 특출'!$AM49,"OK","@@")))))</f>
        <v/>
      </c>
      <c r="AO49" s="59"/>
      <c r="AP49" s="319"/>
    </row>
    <row r="50" spans="1:42" ht="80.099999999999994" customHeight="1">
      <c r="A50" s="115" t="str">
        <f>IF(D50="","",COUNTA($C$6:C50)-COUNTBLANK($C$6:C50)+9)</f>
        <v/>
      </c>
      <c r="B50" s="116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16" t="str">
        <f>IF(D50="","",IF(OR(D50="교육지원과"),"소방재난본부",VLOOKUP(D50,구분표!$A$3:$C$258,3,)))</f>
        <v/>
      </c>
      <c r="D50" s="173"/>
      <c r="E50" s="161"/>
      <c r="F50" s="323" t="str">
        <f t="shared" si="108"/>
        <v/>
      </c>
      <c r="G50" s="323" t="str">
        <f t="shared" si="108"/>
        <v/>
      </c>
      <c r="H50" s="161"/>
      <c r="I50" s="116" t="str">
        <f>IF(H50="","",VLOOKUP($H50,구분표!$K$3:$M$151,2,FALSE))</f>
        <v/>
      </c>
      <c r="J50" s="116" t="str">
        <f>IF(I50="","",VLOOKUP($H50,구분표!$K$3:$M$151,3,FALSE))</f>
        <v/>
      </c>
      <c r="K50" s="180"/>
      <c r="L50" s="180"/>
      <c r="M50" s="385" t="str">
        <f t="shared" si="109"/>
        <v/>
      </c>
      <c r="N50" s="385" t="str">
        <f t="shared" si="110"/>
        <v/>
      </c>
      <c r="O50" s="387" t="str">
        <f t="shared" si="101"/>
        <v/>
      </c>
      <c r="P50" s="386"/>
      <c r="Q50" s="387">
        <f t="shared" si="102"/>
        <v>0</v>
      </c>
      <c r="R50" s="388"/>
      <c r="S50" s="389">
        <f t="shared" si="103"/>
        <v>0</v>
      </c>
      <c r="T50" s="118" t="str">
        <f t="shared" si="104"/>
        <v>X</v>
      </c>
      <c r="U50" s="180"/>
      <c r="V50" s="172"/>
      <c r="W50" s="165"/>
      <c r="X50" s="181"/>
      <c r="Y50" s="165"/>
      <c r="Z50" s="296" t="str">
        <f t="shared" si="105"/>
        <v/>
      </c>
      <c r="AA50" s="119"/>
      <c r="AB50" s="412" t="str">
        <f t="shared" si="3"/>
        <v/>
      </c>
      <c r="AC50" s="413">
        <f t="shared" si="106"/>
        <v>0</v>
      </c>
      <c r="AD50" s="296" t="str">
        <f t="shared" si="5"/>
        <v>OK</v>
      </c>
      <c r="AF50" s="428" t="str">
        <f t="shared" si="6"/>
        <v/>
      </c>
      <c r="AG50" s="429">
        <f t="shared" si="107"/>
        <v>0</v>
      </c>
      <c r="AH50" s="317" t="str">
        <f t="shared" si="8"/>
        <v>OK</v>
      </c>
      <c r="AI50" s="46"/>
      <c r="AJ50" s="169" t="str">
        <f t="shared" si="9"/>
        <v/>
      </c>
      <c r="AK50" s="296" t="str">
        <f t="shared" si="10"/>
        <v/>
      </c>
      <c r="AL50" s="296" t="str">
        <f t="shared" si="11"/>
        <v/>
      </c>
      <c r="AM50" s="296" t="str">
        <f t="shared" si="12"/>
        <v/>
      </c>
      <c r="AN50" s="296" t="str">
        <f>IF($AM50="","", IF($AM50="도비","OK",IF($AJ50="세입없음","OK",IF($AJ50="세입번호입력","@@",IF(VLOOKUP($AJ50,'4. 특입'!$AF$6:$AG$1000,2,FALSE)='4. 특출'!$AM50,"OK","@@")))))</f>
        <v/>
      </c>
      <c r="AO50" s="59"/>
      <c r="AP50" s="319"/>
    </row>
    <row r="51" spans="1:42" ht="50.1" customHeight="1">
      <c r="A51" s="35"/>
      <c r="B51" s="56"/>
      <c r="C51" s="56"/>
      <c r="D51" s="56"/>
      <c r="E51" s="56"/>
      <c r="F51" s="36"/>
      <c r="G51" s="36"/>
      <c r="H51" s="37"/>
      <c r="I51" s="37"/>
      <c r="J51" s="37"/>
      <c r="K51" s="37"/>
      <c r="L51" s="37"/>
      <c r="M51" s="37"/>
      <c r="N51" s="37"/>
      <c r="O51" s="424"/>
      <c r="P51" s="424"/>
      <c r="Q51" s="424"/>
      <c r="R51" s="425"/>
      <c r="S51" s="426"/>
      <c r="T51" s="36"/>
      <c r="U51" s="57"/>
      <c r="V51" s="40"/>
      <c r="W51" s="41"/>
      <c r="X51" s="39"/>
      <c r="Y51" s="39"/>
      <c r="Z51" s="36"/>
      <c r="AA51" s="43"/>
      <c r="AB51" s="424"/>
      <c r="AC51" s="424"/>
      <c r="AD51" s="36"/>
      <c r="AF51" s="430"/>
      <c r="AG51" s="430"/>
      <c r="AH51" s="60"/>
      <c r="AI51" s="36"/>
      <c r="AJ51" s="36"/>
      <c r="AK51" s="36"/>
      <c r="AL51" s="36"/>
      <c r="AM51" s="36"/>
      <c r="AN51" s="36"/>
      <c r="AO51" s="36"/>
      <c r="AP51" s="36"/>
    </row>
    <row r="52" spans="1:42" ht="50.1" customHeight="1">
      <c r="A52" s="35"/>
      <c r="B52" s="56"/>
      <c r="C52" s="56"/>
      <c r="D52" s="56"/>
      <c r="E52" s="56"/>
      <c r="F52" s="36"/>
      <c r="G52" s="36"/>
      <c r="H52" s="37"/>
      <c r="I52" s="37"/>
      <c r="J52" s="37"/>
      <c r="K52" s="37"/>
      <c r="L52" s="37"/>
      <c r="M52" s="37"/>
      <c r="N52" s="37"/>
      <c r="O52" s="424"/>
      <c r="P52" s="424"/>
      <c r="Q52" s="424"/>
      <c r="R52" s="425"/>
      <c r="S52" s="426"/>
      <c r="T52" s="36"/>
      <c r="U52" s="57"/>
      <c r="V52" s="40"/>
      <c r="W52" s="41"/>
      <c r="X52" s="39"/>
      <c r="Y52" s="39"/>
      <c r="Z52" s="36"/>
      <c r="AA52" s="43"/>
      <c r="AB52" s="424"/>
      <c r="AC52" s="424"/>
      <c r="AD52" s="36"/>
      <c r="AF52" s="430"/>
      <c r="AG52" s="430"/>
      <c r="AH52" s="60"/>
      <c r="AI52" s="36"/>
      <c r="AJ52" s="36"/>
      <c r="AK52" s="36"/>
      <c r="AL52" s="36"/>
      <c r="AM52" s="36"/>
      <c r="AN52" s="36"/>
      <c r="AO52" s="36"/>
      <c r="AP52" s="36"/>
    </row>
    <row r="53" spans="1:42" ht="50.1" customHeight="1">
      <c r="A53" s="35"/>
      <c r="B53" s="56"/>
      <c r="C53" s="56"/>
      <c r="D53" s="56"/>
      <c r="E53" s="56"/>
      <c r="F53" s="36"/>
      <c r="G53" s="36"/>
      <c r="H53" s="37"/>
      <c r="I53" s="37"/>
      <c r="J53" s="37"/>
      <c r="K53" s="37"/>
      <c r="L53" s="37"/>
      <c r="M53" s="37"/>
      <c r="N53" s="37"/>
      <c r="O53" s="424"/>
      <c r="P53" s="424"/>
      <c r="Q53" s="424"/>
      <c r="R53" s="425"/>
      <c r="S53" s="426"/>
      <c r="T53" s="36"/>
      <c r="U53" s="57"/>
      <c r="V53" s="40"/>
      <c r="W53" s="41"/>
      <c r="X53" s="39"/>
      <c r="Y53" s="39"/>
      <c r="Z53" s="36"/>
      <c r="AA53" s="43"/>
      <c r="AB53" s="424"/>
      <c r="AC53" s="424"/>
      <c r="AD53" s="36"/>
      <c r="AF53" s="430"/>
      <c r="AG53" s="430"/>
      <c r="AH53" s="60"/>
      <c r="AI53" s="36"/>
      <c r="AJ53" s="36"/>
      <c r="AK53" s="36"/>
      <c r="AL53" s="36"/>
      <c r="AM53" s="36"/>
      <c r="AN53" s="36"/>
      <c r="AO53" s="36"/>
      <c r="AP53" s="36"/>
    </row>
    <row r="54" spans="1:42" ht="50.1" customHeight="1">
      <c r="A54" s="35"/>
      <c r="B54" s="56"/>
      <c r="C54" s="56"/>
      <c r="D54" s="56"/>
      <c r="E54" s="56"/>
      <c r="F54" s="36"/>
      <c r="G54" s="36"/>
      <c r="H54" s="37"/>
      <c r="I54" s="37"/>
      <c r="J54" s="37"/>
      <c r="K54" s="37"/>
      <c r="L54" s="37"/>
      <c r="M54" s="37"/>
      <c r="N54" s="37"/>
      <c r="O54" s="424"/>
      <c r="P54" s="424"/>
      <c r="Q54" s="424"/>
      <c r="R54" s="425"/>
      <c r="S54" s="426"/>
      <c r="T54" s="36"/>
      <c r="U54" s="57"/>
      <c r="V54" s="40"/>
      <c r="W54" s="41"/>
      <c r="X54" s="39"/>
      <c r="Y54" s="39"/>
      <c r="Z54" s="36"/>
      <c r="AA54" s="43"/>
      <c r="AB54" s="424"/>
      <c r="AC54" s="424"/>
      <c r="AD54" s="36"/>
      <c r="AF54" s="430"/>
      <c r="AG54" s="430"/>
      <c r="AH54" s="60"/>
      <c r="AI54" s="36"/>
      <c r="AJ54" s="36"/>
      <c r="AK54" s="36"/>
      <c r="AL54" s="36"/>
      <c r="AM54" s="36"/>
      <c r="AN54" s="36"/>
      <c r="AO54" s="36"/>
      <c r="AP54" s="36"/>
    </row>
    <row r="55" spans="1:42" ht="50.1" customHeight="1">
      <c r="A55" s="35"/>
      <c r="B55" s="56"/>
      <c r="C55" s="56"/>
      <c r="D55" s="56"/>
      <c r="E55" s="56"/>
      <c r="F55" s="36"/>
      <c r="G55" s="36"/>
      <c r="H55" s="37"/>
      <c r="I55" s="37"/>
      <c r="J55" s="37"/>
      <c r="K55" s="37"/>
      <c r="L55" s="37"/>
      <c r="M55" s="37"/>
      <c r="N55" s="37"/>
      <c r="O55" s="424"/>
      <c r="P55" s="424"/>
      <c r="Q55" s="424"/>
      <c r="R55" s="425"/>
      <c r="S55" s="426"/>
      <c r="T55" s="36"/>
      <c r="U55" s="57"/>
      <c r="V55" s="40"/>
      <c r="W55" s="41"/>
      <c r="X55" s="39"/>
      <c r="Y55" s="39"/>
      <c r="Z55" s="36"/>
      <c r="AA55" s="43"/>
      <c r="AB55" s="424"/>
      <c r="AC55" s="424"/>
      <c r="AD55" s="36"/>
      <c r="AF55" s="430"/>
      <c r="AG55" s="430"/>
      <c r="AH55" s="60"/>
      <c r="AI55" s="36"/>
      <c r="AJ55" s="36"/>
      <c r="AK55" s="36"/>
      <c r="AL55" s="36"/>
      <c r="AM55" s="36"/>
      <c r="AN55" s="36"/>
      <c r="AO55" s="36"/>
      <c r="AP55" s="36"/>
    </row>
    <row r="56" spans="1:42" ht="50.1" customHeight="1">
      <c r="A56" s="35"/>
      <c r="B56" s="56"/>
      <c r="C56" s="56"/>
      <c r="D56" s="56"/>
      <c r="E56" s="56"/>
      <c r="F56" s="36"/>
      <c r="G56" s="36"/>
      <c r="H56" s="37"/>
      <c r="I56" s="37"/>
      <c r="J56" s="37"/>
      <c r="K56" s="37"/>
      <c r="L56" s="37"/>
      <c r="M56" s="37"/>
      <c r="N56" s="37"/>
      <c r="O56" s="424"/>
      <c r="P56" s="424"/>
      <c r="Q56" s="424"/>
      <c r="R56" s="425"/>
      <c r="S56" s="426"/>
      <c r="T56" s="36"/>
      <c r="U56" s="57"/>
      <c r="V56" s="40"/>
      <c r="W56" s="41"/>
      <c r="X56" s="39"/>
      <c r="Y56" s="39"/>
      <c r="Z56" s="36"/>
      <c r="AA56" s="43"/>
      <c r="AB56" s="424"/>
      <c r="AC56" s="424"/>
      <c r="AD56" s="36"/>
      <c r="AF56" s="430"/>
      <c r="AG56" s="430"/>
      <c r="AH56" s="60"/>
      <c r="AI56" s="36"/>
      <c r="AJ56" s="36"/>
      <c r="AK56" s="36"/>
      <c r="AL56" s="36"/>
      <c r="AM56" s="36"/>
      <c r="AN56" s="36"/>
      <c r="AO56" s="36"/>
      <c r="AP56" s="36"/>
    </row>
    <row r="57" spans="1:42" ht="50.1" customHeight="1">
      <c r="A57" s="35"/>
      <c r="B57" s="56"/>
      <c r="C57" s="56"/>
      <c r="D57" s="56"/>
      <c r="E57" s="56"/>
      <c r="F57" s="36"/>
      <c r="G57" s="36"/>
      <c r="H57" s="37"/>
      <c r="I57" s="37"/>
      <c r="J57" s="37"/>
      <c r="K57" s="37"/>
      <c r="L57" s="37"/>
      <c r="M57" s="37"/>
      <c r="N57" s="37"/>
      <c r="O57" s="424"/>
      <c r="P57" s="424"/>
      <c r="Q57" s="424"/>
      <c r="R57" s="425"/>
      <c r="S57" s="426"/>
      <c r="T57" s="36"/>
      <c r="U57" s="57"/>
      <c r="V57" s="40"/>
      <c r="W57" s="41"/>
      <c r="X57" s="39"/>
      <c r="Y57" s="39"/>
      <c r="Z57" s="36"/>
      <c r="AA57" s="43"/>
      <c r="AB57" s="424"/>
      <c r="AC57" s="424"/>
      <c r="AD57" s="36"/>
      <c r="AF57" s="430"/>
      <c r="AG57" s="430"/>
      <c r="AH57" s="60"/>
      <c r="AI57" s="36"/>
      <c r="AJ57" s="36"/>
      <c r="AK57" s="36"/>
      <c r="AL57" s="36"/>
      <c r="AM57" s="36"/>
      <c r="AN57" s="36"/>
      <c r="AO57" s="36"/>
      <c r="AP57" s="36"/>
    </row>
    <row r="58" spans="1:42" ht="50.1" customHeight="1">
      <c r="A58" s="35"/>
      <c r="B58" s="56"/>
      <c r="C58" s="56"/>
      <c r="D58" s="56"/>
      <c r="E58" s="56"/>
      <c r="F58" s="36"/>
      <c r="G58" s="36"/>
      <c r="H58" s="37"/>
      <c r="I58" s="37"/>
      <c r="J58" s="37"/>
      <c r="K58" s="37"/>
      <c r="L58" s="37"/>
      <c r="M58" s="37"/>
      <c r="N58" s="37"/>
      <c r="O58" s="424"/>
      <c r="P58" s="424"/>
      <c r="Q58" s="424"/>
      <c r="R58" s="425"/>
      <c r="S58" s="426"/>
      <c r="T58" s="36"/>
      <c r="U58" s="57"/>
      <c r="V58" s="40"/>
      <c r="W58" s="41"/>
      <c r="X58" s="39"/>
      <c r="Y58" s="39"/>
      <c r="Z58" s="36"/>
      <c r="AA58" s="43"/>
      <c r="AB58" s="424"/>
      <c r="AC58" s="424"/>
      <c r="AD58" s="36"/>
      <c r="AF58" s="430"/>
      <c r="AG58" s="430"/>
      <c r="AH58" s="60"/>
      <c r="AI58" s="36"/>
      <c r="AJ58" s="36"/>
      <c r="AK58" s="36"/>
      <c r="AL58" s="36"/>
      <c r="AM58" s="36"/>
      <c r="AN58" s="36"/>
      <c r="AO58" s="36"/>
      <c r="AP58" s="36"/>
    </row>
    <row r="59" spans="1:42" ht="50.1" customHeight="1">
      <c r="A59" s="35"/>
      <c r="B59" s="56"/>
      <c r="C59" s="56"/>
      <c r="D59" s="56"/>
      <c r="E59" s="56"/>
      <c r="F59" s="36"/>
      <c r="G59" s="36"/>
      <c r="H59" s="37"/>
      <c r="I59" s="37"/>
      <c r="J59" s="37"/>
      <c r="K59" s="37"/>
      <c r="L59" s="37"/>
      <c r="M59" s="37"/>
      <c r="N59" s="37"/>
      <c r="O59" s="424"/>
      <c r="P59" s="424"/>
      <c r="Q59" s="424"/>
      <c r="R59" s="424"/>
      <c r="S59" s="426"/>
      <c r="T59" s="36"/>
      <c r="U59" s="57"/>
      <c r="V59" s="40"/>
      <c r="W59" s="41"/>
      <c r="X59" s="39"/>
      <c r="Y59" s="39"/>
      <c r="Z59" s="36"/>
      <c r="AA59" s="43"/>
      <c r="AB59" s="424"/>
      <c r="AC59" s="424"/>
      <c r="AD59" s="36"/>
      <c r="AF59" s="430"/>
      <c r="AG59" s="430"/>
      <c r="AH59" s="60"/>
      <c r="AI59" s="36"/>
      <c r="AJ59" s="36"/>
      <c r="AK59" s="36"/>
      <c r="AL59" s="36"/>
      <c r="AM59" s="36"/>
      <c r="AN59" s="36"/>
      <c r="AO59" s="36"/>
      <c r="AP59" s="36"/>
    </row>
    <row r="60" spans="1:42" ht="50.1" customHeight="1">
      <c r="A60" s="35"/>
      <c r="B60" s="56"/>
      <c r="C60" s="56"/>
      <c r="D60" s="56"/>
      <c r="E60" s="56"/>
      <c r="F60" s="36"/>
      <c r="G60" s="36"/>
      <c r="H60" s="37"/>
      <c r="I60" s="37"/>
      <c r="J60" s="37"/>
      <c r="K60" s="37"/>
      <c r="L60" s="37"/>
      <c r="M60" s="37"/>
      <c r="N60" s="37"/>
      <c r="O60" s="424"/>
      <c r="P60" s="424"/>
      <c r="Q60" s="424"/>
      <c r="R60" s="424"/>
      <c r="S60" s="426"/>
      <c r="T60" s="36"/>
      <c r="U60" s="57"/>
      <c r="V60" s="40"/>
      <c r="W60" s="41"/>
      <c r="X60" s="39"/>
      <c r="Y60" s="39"/>
      <c r="Z60" s="36"/>
      <c r="AA60" s="43"/>
      <c r="AB60" s="424"/>
      <c r="AC60" s="424"/>
      <c r="AD60" s="36"/>
      <c r="AF60" s="430"/>
      <c r="AG60" s="430"/>
      <c r="AH60" s="60"/>
      <c r="AI60" s="36"/>
      <c r="AJ60" s="36"/>
      <c r="AK60" s="36"/>
      <c r="AL60" s="36"/>
      <c r="AM60" s="36"/>
      <c r="AN60" s="36"/>
      <c r="AO60" s="36"/>
      <c r="AP60" s="36"/>
    </row>
    <row r="61" spans="1:42" ht="50.1" customHeight="1">
      <c r="A61" s="35"/>
      <c r="B61" s="56"/>
      <c r="C61" s="56"/>
      <c r="D61" s="56"/>
      <c r="E61" s="56"/>
      <c r="F61" s="36"/>
      <c r="G61" s="36"/>
      <c r="H61" s="37"/>
      <c r="I61" s="37"/>
      <c r="J61" s="37"/>
      <c r="K61" s="37"/>
      <c r="L61" s="37"/>
      <c r="M61" s="37"/>
      <c r="N61" s="37"/>
      <c r="O61" s="424"/>
      <c r="P61" s="424"/>
      <c r="Q61" s="424"/>
      <c r="R61" s="424"/>
      <c r="S61" s="426"/>
      <c r="T61" s="36"/>
      <c r="U61" s="57"/>
      <c r="V61" s="40"/>
      <c r="W61" s="41"/>
      <c r="X61" s="39"/>
      <c r="Y61" s="39"/>
      <c r="Z61" s="36"/>
      <c r="AA61" s="43"/>
      <c r="AB61" s="424"/>
      <c r="AC61" s="424"/>
      <c r="AD61" s="36"/>
      <c r="AF61" s="430"/>
      <c r="AG61" s="430"/>
      <c r="AH61" s="60"/>
      <c r="AI61" s="36"/>
      <c r="AJ61" s="36"/>
      <c r="AK61" s="36"/>
      <c r="AL61" s="36"/>
      <c r="AM61" s="36"/>
      <c r="AN61" s="36"/>
      <c r="AO61" s="36"/>
      <c r="AP61" s="36"/>
    </row>
    <row r="62" spans="1:42" ht="50.1" customHeight="1">
      <c r="A62" s="35"/>
      <c r="B62" s="56"/>
      <c r="C62" s="56"/>
      <c r="D62" s="56"/>
      <c r="E62" s="56"/>
      <c r="F62" s="36"/>
      <c r="G62" s="36"/>
      <c r="H62" s="37"/>
      <c r="I62" s="37"/>
      <c r="J62" s="37"/>
      <c r="K62" s="37"/>
      <c r="L62" s="37"/>
      <c r="M62" s="37"/>
      <c r="N62" s="37"/>
      <c r="O62" s="424"/>
      <c r="P62" s="424"/>
      <c r="Q62" s="424"/>
      <c r="R62" s="424"/>
      <c r="S62" s="426"/>
      <c r="T62" s="36"/>
      <c r="U62" s="57"/>
      <c r="V62" s="40"/>
      <c r="W62" s="41"/>
      <c r="X62" s="39"/>
      <c r="Y62" s="39"/>
      <c r="Z62" s="36"/>
      <c r="AA62" s="43"/>
      <c r="AB62" s="424"/>
      <c r="AC62" s="424"/>
      <c r="AD62" s="36"/>
      <c r="AF62" s="430"/>
      <c r="AG62" s="430"/>
      <c r="AH62" s="60"/>
      <c r="AI62" s="36"/>
      <c r="AJ62" s="36"/>
      <c r="AK62" s="36"/>
      <c r="AL62" s="36"/>
      <c r="AM62" s="36"/>
      <c r="AN62" s="36"/>
      <c r="AO62" s="36"/>
      <c r="AP62" s="36"/>
    </row>
    <row r="63" spans="1:42" ht="50.1" customHeight="1">
      <c r="A63" s="35"/>
      <c r="B63" s="56"/>
      <c r="C63" s="56"/>
      <c r="D63" s="56"/>
      <c r="E63" s="56"/>
      <c r="F63" s="36"/>
      <c r="G63" s="36"/>
      <c r="H63" s="37"/>
      <c r="I63" s="37"/>
      <c r="J63" s="37"/>
      <c r="K63" s="37"/>
      <c r="L63" s="37"/>
      <c r="M63" s="37"/>
      <c r="N63" s="37"/>
      <c r="O63" s="424"/>
      <c r="P63" s="424"/>
      <c r="Q63" s="424"/>
      <c r="R63" s="424"/>
      <c r="S63" s="426"/>
      <c r="T63" s="36"/>
      <c r="U63" s="57"/>
      <c r="V63" s="40"/>
      <c r="W63" s="41"/>
      <c r="X63" s="39"/>
      <c r="Y63" s="39"/>
      <c r="Z63" s="36"/>
      <c r="AA63" s="43"/>
      <c r="AB63" s="424"/>
      <c r="AC63" s="424"/>
      <c r="AD63" s="36"/>
      <c r="AF63" s="430"/>
      <c r="AG63" s="430"/>
      <c r="AH63" s="60"/>
      <c r="AI63" s="36"/>
      <c r="AJ63" s="36"/>
      <c r="AK63" s="36"/>
      <c r="AL63" s="36"/>
      <c r="AM63" s="36"/>
      <c r="AN63" s="36"/>
      <c r="AO63" s="36"/>
      <c r="AP63" s="36"/>
    </row>
    <row r="64" spans="1:42" ht="50.1" customHeight="1">
      <c r="A64" s="35"/>
      <c r="B64" s="56"/>
      <c r="C64" s="56"/>
      <c r="D64" s="56"/>
      <c r="E64" s="56"/>
      <c r="F64" s="36"/>
      <c r="G64" s="36"/>
      <c r="H64" s="37"/>
      <c r="I64" s="37"/>
      <c r="J64" s="37"/>
      <c r="K64" s="37"/>
      <c r="L64" s="37"/>
      <c r="M64" s="37"/>
      <c r="N64" s="37"/>
      <c r="O64" s="424"/>
      <c r="P64" s="424"/>
      <c r="Q64" s="424"/>
      <c r="R64" s="424"/>
      <c r="S64" s="426"/>
      <c r="T64" s="36"/>
      <c r="U64" s="39"/>
      <c r="V64" s="40"/>
      <c r="W64" s="41"/>
      <c r="X64" s="39"/>
      <c r="Y64" s="39"/>
      <c r="Z64" s="36"/>
      <c r="AA64" s="43"/>
      <c r="AB64" s="424"/>
      <c r="AC64" s="424"/>
      <c r="AD64" s="36"/>
      <c r="AF64" s="430"/>
      <c r="AG64" s="430"/>
      <c r="AH64" s="60"/>
      <c r="AI64" s="36"/>
      <c r="AJ64" s="36"/>
      <c r="AK64" s="36"/>
      <c r="AL64" s="36"/>
      <c r="AM64" s="36"/>
      <c r="AN64" s="36"/>
      <c r="AO64" s="36"/>
      <c r="AP64" s="36"/>
    </row>
    <row r="65" spans="1:42" ht="50.1" customHeight="1">
      <c r="A65" s="35"/>
      <c r="B65" s="56"/>
      <c r="C65" s="56"/>
      <c r="D65" s="56"/>
      <c r="E65" s="56"/>
      <c r="F65" s="36"/>
      <c r="G65" s="36"/>
      <c r="H65" s="37"/>
      <c r="I65" s="37"/>
      <c r="J65" s="37"/>
      <c r="K65" s="37"/>
      <c r="L65" s="37"/>
      <c r="M65" s="37"/>
      <c r="N65" s="37"/>
      <c r="O65" s="424"/>
      <c r="P65" s="424"/>
      <c r="Q65" s="424"/>
      <c r="R65" s="424"/>
      <c r="S65" s="426"/>
      <c r="T65" s="36"/>
      <c r="U65" s="39"/>
      <c r="V65" s="40"/>
      <c r="W65" s="41"/>
      <c r="X65" s="39"/>
      <c r="Y65" s="39"/>
      <c r="Z65" s="36"/>
      <c r="AA65" s="43"/>
      <c r="AB65" s="424"/>
      <c r="AC65" s="424"/>
      <c r="AD65" s="36"/>
      <c r="AF65" s="430"/>
      <c r="AG65" s="430"/>
      <c r="AH65" s="60"/>
      <c r="AI65" s="36"/>
      <c r="AJ65" s="36"/>
      <c r="AK65" s="36"/>
      <c r="AL65" s="36"/>
      <c r="AM65" s="36"/>
      <c r="AN65" s="36"/>
      <c r="AO65" s="36"/>
      <c r="AP65" s="36"/>
    </row>
    <row r="66" spans="1:42" ht="50.1" customHeight="1">
      <c r="A66" s="35"/>
      <c r="B66" s="56"/>
      <c r="C66" s="56"/>
      <c r="D66" s="56"/>
      <c r="E66" s="56"/>
      <c r="F66" s="36"/>
      <c r="G66" s="36"/>
      <c r="H66" s="37"/>
      <c r="I66" s="37"/>
      <c r="J66" s="37"/>
      <c r="K66" s="37"/>
      <c r="L66" s="37"/>
      <c r="M66" s="37"/>
      <c r="N66" s="37"/>
      <c r="O66" s="424"/>
      <c r="P66" s="424"/>
      <c r="Q66" s="424"/>
      <c r="R66" s="424"/>
      <c r="S66" s="426"/>
      <c r="T66" s="36"/>
      <c r="U66" s="39"/>
      <c r="V66" s="40"/>
      <c r="W66" s="41"/>
      <c r="X66" s="39"/>
      <c r="Y66" s="39"/>
      <c r="Z66" s="36"/>
      <c r="AA66" s="43"/>
      <c r="AB66" s="424"/>
      <c r="AC66" s="424"/>
      <c r="AD66" s="36"/>
      <c r="AF66" s="430"/>
      <c r="AG66" s="430"/>
      <c r="AH66" s="60"/>
      <c r="AI66" s="36"/>
      <c r="AJ66" s="36"/>
      <c r="AK66" s="36"/>
      <c r="AL66" s="36"/>
      <c r="AM66" s="36"/>
      <c r="AN66" s="36"/>
      <c r="AO66" s="36"/>
      <c r="AP66" s="36"/>
    </row>
    <row r="67" spans="1:42" ht="50.1" customHeight="1">
      <c r="A67" s="35"/>
      <c r="B67" s="56"/>
      <c r="C67" s="56"/>
      <c r="D67" s="56"/>
      <c r="E67" s="56"/>
      <c r="F67" s="36"/>
      <c r="G67" s="36"/>
      <c r="H67" s="37"/>
      <c r="I67" s="37"/>
      <c r="J67" s="37"/>
      <c r="K67" s="37"/>
      <c r="L67" s="37"/>
      <c r="M67" s="37"/>
      <c r="N67" s="37"/>
      <c r="O67" s="424"/>
      <c r="P67" s="424"/>
      <c r="Q67" s="424"/>
      <c r="R67" s="424"/>
      <c r="S67" s="426"/>
      <c r="T67" s="36"/>
      <c r="U67" s="39"/>
      <c r="V67" s="40"/>
      <c r="W67" s="41"/>
      <c r="X67" s="39"/>
      <c r="Y67" s="39"/>
      <c r="Z67" s="36"/>
      <c r="AA67" s="43"/>
      <c r="AB67" s="424"/>
      <c r="AC67" s="424"/>
      <c r="AD67" s="36"/>
      <c r="AF67" s="430"/>
      <c r="AG67" s="430"/>
      <c r="AH67" s="60"/>
      <c r="AI67" s="36"/>
      <c r="AJ67" s="36"/>
      <c r="AK67" s="36"/>
      <c r="AL67" s="36"/>
      <c r="AM67" s="36"/>
      <c r="AN67" s="36"/>
      <c r="AO67" s="36"/>
      <c r="AP67" s="36"/>
    </row>
    <row r="68" spans="1:42" ht="50.1" customHeight="1">
      <c r="A68" s="51"/>
      <c r="B68" s="48"/>
      <c r="C68" s="48"/>
      <c r="D68" s="48"/>
      <c r="E68" s="48"/>
      <c r="F68" s="43"/>
      <c r="G68" s="43"/>
      <c r="H68" s="52"/>
      <c r="I68" s="52"/>
      <c r="J68" s="52"/>
      <c r="K68" s="52"/>
      <c r="L68" s="52"/>
      <c r="M68" s="52"/>
      <c r="N68" s="52"/>
      <c r="O68" s="415"/>
      <c r="P68" s="415"/>
      <c r="Q68" s="415"/>
      <c r="R68" s="415"/>
      <c r="S68" s="427"/>
      <c r="T68" s="43"/>
      <c r="U68" s="53"/>
      <c r="V68" s="54"/>
      <c r="W68" s="55"/>
      <c r="X68" s="53"/>
      <c r="Y68" s="53"/>
      <c r="Z68" s="43"/>
      <c r="AA68" s="43"/>
      <c r="AB68" s="424"/>
      <c r="AC68" s="424"/>
      <c r="AD68" s="36"/>
      <c r="AF68" s="430"/>
      <c r="AG68" s="430"/>
      <c r="AH68" s="60"/>
      <c r="AI68" s="43"/>
      <c r="AJ68" s="43"/>
      <c r="AK68" s="43"/>
      <c r="AL68" s="43"/>
      <c r="AM68" s="36"/>
      <c r="AN68" s="36"/>
      <c r="AO68" s="43"/>
      <c r="AP68" s="43"/>
    </row>
    <row r="69" spans="1:42" ht="50.1" customHeight="1">
      <c r="A69" s="51"/>
      <c r="B69" s="48"/>
      <c r="C69" s="48"/>
      <c r="D69" s="48"/>
      <c r="E69" s="48"/>
      <c r="F69" s="43"/>
      <c r="G69" s="43"/>
      <c r="H69" s="52"/>
      <c r="I69" s="52"/>
      <c r="J69" s="52"/>
      <c r="K69" s="52"/>
      <c r="L69" s="52"/>
      <c r="M69" s="52"/>
      <c r="N69" s="52"/>
      <c r="O69" s="415"/>
      <c r="P69" s="415"/>
      <c r="Q69" s="415"/>
      <c r="R69" s="415"/>
      <c r="S69" s="427"/>
      <c r="T69" s="43"/>
      <c r="U69" s="53"/>
      <c r="V69" s="54"/>
      <c r="W69" s="55"/>
      <c r="X69" s="53"/>
      <c r="Y69" s="53"/>
      <c r="Z69" s="43"/>
      <c r="AA69" s="43"/>
      <c r="AB69" s="424"/>
      <c r="AC69" s="424"/>
      <c r="AD69" s="36"/>
      <c r="AF69" s="430"/>
      <c r="AG69" s="430"/>
      <c r="AH69" s="60"/>
      <c r="AI69" s="43"/>
      <c r="AJ69" s="43"/>
      <c r="AK69" s="43"/>
      <c r="AL69" s="43"/>
      <c r="AM69" s="36"/>
      <c r="AN69" s="36"/>
      <c r="AO69" s="43"/>
      <c r="AP69" s="43"/>
    </row>
    <row r="70" spans="1:42" ht="50.1" customHeight="1">
      <c r="A70" s="51"/>
      <c r="B70" s="48"/>
      <c r="C70" s="48"/>
      <c r="D70" s="48"/>
      <c r="E70" s="48"/>
      <c r="F70" s="43"/>
      <c r="G70" s="43"/>
      <c r="H70" s="52"/>
      <c r="I70" s="52"/>
      <c r="J70" s="52"/>
      <c r="K70" s="52"/>
      <c r="L70" s="52"/>
      <c r="M70" s="52"/>
      <c r="N70" s="52"/>
      <c r="O70" s="415"/>
      <c r="P70" s="415"/>
      <c r="Q70" s="415"/>
      <c r="R70" s="415"/>
      <c r="S70" s="427"/>
      <c r="T70" s="43"/>
      <c r="U70" s="53"/>
      <c r="V70" s="54"/>
      <c r="W70" s="55"/>
      <c r="X70" s="53"/>
      <c r="Y70" s="53"/>
      <c r="Z70" s="43"/>
      <c r="AA70" s="43"/>
      <c r="AB70" s="424"/>
      <c r="AC70" s="424"/>
      <c r="AD70" s="36"/>
      <c r="AF70" s="430"/>
      <c r="AG70" s="430"/>
      <c r="AH70" s="60"/>
      <c r="AI70" s="43"/>
      <c r="AJ70" s="43"/>
      <c r="AK70" s="43"/>
      <c r="AL70" s="43"/>
      <c r="AM70" s="36"/>
      <c r="AN70" s="36"/>
      <c r="AO70" s="43"/>
      <c r="AP70" s="43"/>
    </row>
    <row r="71" spans="1:42" ht="50.1" customHeight="1">
      <c r="A71" s="51"/>
      <c r="B71" s="48"/>
      <c r="C71" s="48"/>
      <c r="D71" s="48"/>
      <c r="E71" s="48"/>
      <c r="F71" s="43"/>
      <c r="G71" s="43"/>
      <c r="H71" s="52"/>
      <c r="I71" s="52"/>
      <c r="J71" s="52"/>
      <c r="K71" s="52"/>
      <c r="L71" s="52"/>
      <c r="M71" s="52"/>
      <c r="N71" s="52"/>
      <c r="O71" s="415"/>
      <c r="P71" s="415"/>
      <c r="Q71" s="415"/>
      <c r="R71" s="415"/>
      <c r="S71" s="427"/>
      <c r="T71" s="43"/>
      <c r="U71" s="53"/>
      <c r="V71" s="54"/>
      <c r="W71" s="55"/>
      <c r="X71" s="53"/>
      <c r="Y71" s="53"/>
      <c r="Z71" s="43"/>
      <c r="AA71" s="43"/>
      <c r="AB71" s="424"/>
      <c r="AC71" s="424"/>
      <c r="AD71" s="36"/>
      <c r="AF71" s="430"/>
      <c r="AG71" s="430"/>
      <c r="AH71" s="60"/>
      <c r="AI71" s="43"/>
      <c r="AJ71" s="43"/>
      <c r="AK71" s="43"/>
      <c r="AL71" s="43"/>
      <c r="AM71" s="36"/>
      <c r="AN71" s="36"/>
      <c r="AO71" s="43"/>
      <c r="AP71" s="43"/>
    </row>
    <row r="72" spans="1:42" ht="50.1" customHeight="1">
      <c r="A72" s="51"/>
      <c r="B72" s="48"/>
      <c r="C72" s="48"/>
      <c r="D72" s="48"/>
      <c r="E72" s="48"/>
      <c r="F72" s="43"/>
      <c r="G72" s="43"/>
      <c r="H72" s="52"/>
      <c r="I72" s="52"/>
      <c r="J72" s="52"/>
      <c r="K72" s="52"/>
      <c r="L72" s="52"/>
      <c r="M72" s="52"/>
      <c r="N72" s="52"/>
      <c r="O72" s="415"/>
      <c r="P72" s="415"/>
      <c r="Q72" s="415"/>
      <c r="R72" s="415"/>
      <c r="S72" s="427"/>
      <c r="T72" s="43"/>
      <c r="U72" s="53"/>
      <c r="V72" s="54"/>
      <c r="W72" s="55"/>
      <c r="X72" s="53"/>
      <c r="Y72" s="53"/>
      <c r="Z72" s="43"/>
      <c r="AA72" s="43"/>
      <c r="AB72" s="424"/>
      <c r="AC72" s="424"/>
      <c r="AD72" s="36"/>
      <c r="AF72" s="424"/>
      <c r="AG72" s="415"/>
      <c r="AH72" s="43"/>
      <c r="AI72" s="43"/>
      <c r="AJ72" s="43"/>
      <c r="AK72" s="43"/>
      <c r="AL72" s="43"/>
      <c r="AM72" s="36"/>
      <c r="AN72" s="36"/>
      <c r="AO72" s="43"/>
      <c r="AP72" s="43"/>
    </row>
    <row r="73" spans="1:42" ht="50.1" customHeight="1">
      <c r="A73" s="51"/>
      <c r="B73" s="48"/>
      <c r="C73" s="48"/>
      <c r="D73" s="48"/>
      <c r="E73" s="48"/>
      <c r="F73" s="43"/>
      <c r="G73" s="43"/>
      <c r="H73" s="52"/>
      <c r="I73" s="52"/>
      <c r="J73" s="52"/>
      <c r="K73" s="52"/>
      <c r="L73" s="52"/>
      <c r="M73" s="52"/>
      <c r="N73" s="52"/>
      <c r="O73" s="415"/>
      <c r="P73" s="415"/>
      <c r="Q73" s="415"/>
      <c r="R73" s="415"/>
      <c r="S73" s="427"/>
      <c r="T73" s="43"/>
      <c r="U73" s="53"/>
      <c r="V73" s="54"/>
      <c r="W73" s="55"/>
      <c r="X73" s="53"/>
      <c r="Y73" s="53"/>
      <c r="Z73" s="43"/>
      <c r="AA73" s="43"/>
      <c r="AB73" s="424"/>
      <c r="AC73" s="424"/>
      <c r="AD73" s="36"/>
      <c r="AF73" s="424"/>
      <c r="AG73" s="415"/>
      <c r="AH73" s="43"/>
      <c r="AI73" s="43"/>
      <c r="AJ73" s="43"/>
      <c r="AK73" s="43"/>
      <c r="AL73" s="43"/>
      <c r="AM73" s="36"/>
      <c r="AN73" s="36"/>
      <c r="AO73" s="43"/>
      <c r="AP73" s="43"/>
    </row>
    <row r="74" spans="1:42" ht="50.1" customHeight="1">
      <c r="A74" s="51"/>
      <c r="B74" s="48"/>
      <c r="C74" s="48"/>
      <c r="D74" s="48"/>
      <c r="E74" s="48"/>
      <c r="F74" s="43"/>
      <c r="G74" s="43"/>
      <c r="H74" s="52"/>
      <c r="I74" s="52"/>
      <c r="J74" s="52"/>
      <c r="K74" s="52"/>
      <c r="L74" s="52"/>
      <c r="M74" s="52"/>
      <c r="N74" s="52"/>
      <c r="O74" s="415"/>
      <c r="P74" s="415"/>
      <c r="Q74" s="415"/>
      <c r="R74" s="415"/>
      <c r="S74" s="427"/>
      <c r="T74" s="43"/>
      <c r="U74" s="53"/>
      <c r="V74" s="54"/>
      <c r="W74" s="55"/>
      <c r="X74" s="53"/>
      <c r="Y74" s="53"/>
      <c r="Z74" s="43"/>
      <c r="AA74" s="43"/>
      <c r="AB74" s="424"/>
      <c r="AC74" s="424"/>
      <c r="AD74" s="36"/>
      <c r="AF74" s="424"/>
      <c r="AG74" s="415"/>
      <c r="AH74" s="43"/>
      <c r="AI74" s="43"/>
      <c r="AJ74" s="43"/>
      <c r="AK74" s="43"/>
      <c r="AL74" s="43"/>
      <c r="AM74" s="36"/>
      <c r="AN74" s="36"/>
      <c r="AO74" s="43"/>
      <c r="AP74" s="43"/>
    </row>
    <row r="75" spans="1:42" ht="50.1" customHeight="1">
      <c r="A75" s="51"/>
      <c r="B75" s="48"/>
      <c r="C75" s="48"/>
      <c r="D75" s="48"/>
      <c r="E75" s="48"/>
      <c r="F75" s="43"/>
      <c r="G75" s="43"/>
      <c r="H75" s="52"/>
      <c r="I75" s="52"/>
      <c r="J75" s="52"/>
      <c r="K75" s="52"/>
      <c r="L75" s="52"/>
      <c r="M75" s="52"/>
      <c r="N75" s="52"/>
      <c r="O75" s="415"/>
      <c r="P75" s="415"/>
      <c r="Q75" s="415"/>
      <c r="R75" s="415"/>
      <c r="S75" s="427"/>
      <c r="T75" s="43"/>
      <c r="U75" s="53"/>
      <c r="V75" s="54"/>
      <c r="W75" s="55"/>
      <c r="X75" s="53"/>
      <c r="Y75" s="53"/>
      <c r="Z75" s="43"/>
      <c r="AA75" s="43"/>
      <c r="AB75" s="424"/>
      <c r="AC75" s="424"/>
      <c r="AD75" s="36"/>
      <c r="AF75" s="424"/>
      <c r="AG75" s="415"/>
      <c r="AH75" s="43"/>
      <c r="AI75" s="43"/>
      <c r="AJ75" s="43"/>
      <c r="AK75" s="43"/>
      <c r="AL75" s="43"/>
      <c r="AM75" s="36"/>
      <c r="AN75" s="36"/>
      <c r="AO75" s="43"/>
      <c r="AP75" s="43"/>
    </row>
    <row r="76" spans="1:42" ht="50.1" customHeight="1">
      <c r="A76" s="51"/>
      <c r="B76" s="48"/>
      <c r="C76" s="48"/>
      <c r="D76" s="48"/>
      <c r="E76" s="48"/>
      <c r="F76" s="43"/>
      <c r="G76" s="43"/>
      <c r="H76" s="52"/>
      <c r="I76" s="52"/>
      <c r="J76" s="52"/>
      <c r="K76" s="52"/>
      <c r="L76" s="52"/>
      <c r="M76" s="52"/>
      <c r="N76" s="52"/>
      <c r="O76" s="415"/>
      <c r="P76" s="415"/>
      <c r="Q76" s="415"/>
      <c r="R76" s="415"/>
      <c r="S76" s="427"/>
      <c r="T76" s="43"/>
      <c r="U76" s="53"/>
      <c r="V76" s="54"/>
      <c r="W76" s="55"/>
      <c r="X76" s="53"/>
      <c r="Y76" s="53"/>
      <c r="Z76" s="43"/>
      <c r="AA76" s="43"/>
      <c r="AB76" s="424"/>
      <c r="AC76" s="424"/>
      <c r="AD76" s="36"/>
      <c r="AF76" s="424"/>
      <c r="AG76" s="415"/>
      <c r="AH76" s="43"/>
      <c r="AI76" s="43"/>
      <c r="AJ76" s="43"/>
      <c r="AK76" s="43"/>
      <c r="AL76" s="43"/>
      <c r="AM76" s="36"/>
      <c r="AN76" s="36"/>
      <c r="AO76" s="43"/>
      <c r="AP76" s="43"/>
    </row>
    <row r="77" spans="1:42" ht="50.1" customHeight="1">
      <c r="A77" s="51"/>
      <c r="B77" s="48"/>
      <c r="C77" s="48"/>
      <c r="D77" s="48"/>
      <c r="E77" s="48"/>
      <c r="F77" s="43"/>
      <c r="G77" s="43"/>
      <c r="H77" s="52"/>
      <c r="I77" s="52"/>
      <c r="J77" s="52"/>
      <c r="K77" s="52"/>
      <c r="L77" s="52"/>
      <c r="M77" s="52"/>
      <c r="N77" s="52"/>
      <c r="O77" s="415"/>
      <c r="P77" s="415"/>
      <c r="Q77" s="415"/>
      <c r="R77" s="415"/>
      <c r="S77" s="427"/>
      <c r="T77" s="43"/>
      <c r="U77" s="53"/>
      <c r="V77" s="54"/>
      <c r="W77" s="55"/>
      <c r="X77" s="53"/>
      <c r="Y77" s="53"/>
      <c r="Z77" s="43"/>
      <c r="AA77" s="43"/>
      <c r="AB77" s="424"/>
      <c r="AC77" s="424"/>
      <c r="AD77" s="36"/>
      <c r="AF77" s="424"/>
      <c r="AG77" s="415"/>
      <c r="AH77" s="43"/>
      <c r="AI77" s="43"/>
      <c r="AJ77" s="43"/>
      <c r="AK77" s="43"/>
      <c r="AL77" s="43"/>
      <c r="AM77" s="36"/>
      <c r="AN77" s="36"/>
      <c r="AO77" s="43"/>
      <c r="AP77" s="43"/>
    </row>
    <row r="78" spans="1:42" ht="50.1" customHeight="1">
      <c r="A78" s="51"/>
      <c r="B78" s="48"/>
      <c r="C78" s="48"/>
      <c r="D78" s="48"/>
      <c r="E78" s="48"/>
      <c r="F78" s="43"/>
      <c r="G78" s="43"/>
      <c r="H78" s="52"/>
      <c r="I78" s="52"/>
      <c r="J78" s="52"/>
      <c r="K78" s="52"/>
      <c r="L78" s="52"/>
      <c r="M78" s="52"/>
      <c r="N78" s="52"/>
      <c r="O78" s="415"/>
      <c r="P78" s="415"/>
      <c r="Q78" s="415"/>
      <c r="R78" s="415"/>
      <c r="S78" s="427"/>
      <c r="T78" s="43"/>
      <c r="U78" s="53"/>
      <c r="V78" s="54"/>
      <c r="W78" s="55"/>
      <c r="X78" s="53"/>
      <c r="Y78" s="53"/>
      <c r="Z78" s="43"/>
      <c r="AA78" s="43"/>
      <c r="AB78" s="415"/>
      <c r="AC78" s="415"/>
      <c r="AD78" s="43"/>
      <c r="AF78" s="415"/>
      <c r="AG78" s="415"/>
      <c r="AH78" s="43"/>
      <c r="AI78" s="43"/>
      <c r="AJ78" s="43"/>
      <c r="AK78" s="43"/>
      <c r="AL78" s="43"/>
      <c r="AO78" s="43"/>
      <c r="AP78" s="43"/>
    </row>
    <row r="79" spans="1:42" ht="50.1" customHeight="1">
      <c r="A79" s="51"/>
      <c r="B79" s="48"/>
      <c r="C79" s="48"/>
      <c r="D79" s="48"/>
      <c r="E79" s="48"/>
      <c r="F79" s="43"/>
      <c r="G79" s="43"/>
      <c r="H79" s="52"/>
      <c r="I79" s="52"/>
      <c r="J79" s="52"/>
      <c r="K79" s="52"/>
      <c r="L79" s="52"/>
      <c r="M79" s="52"/>
      <c r="N79" s="52"/>
      <c r="O79" s="415"/>
      <c r="P79" s="415"/>
      <c r="Q79" s="415"/>
      <c r="R79" s="415"/>
      <c r="S79" s="427"/>
      <c r="T79" s="43"/>
      <c r="U79" s="53"/>
      <c r="V79" s="54"/>
      <c r="W79" s="55"/>
      <c r="X79" s="53"/>
      <c r="Y79" s="53"/>
      <c r="Z79" s="43"/>
      <c r="AA79" s="43"/>
      <c r="AB79" s="415"/>
      <c r="AC79" s="415"/>
      <c r="AD79" s="43"/>
      <c r="AF79" s="415"/>
      <c r="AG79" s="415"/>
      <c r="AH79" s="43"/>
      <c r="AI79" s="43"/>
      <c r="AJ79" s="43"/>
      <c r="AK79" s="43"/>
      <c r="AL79" s="43"/>
      <c r="AO79" s="43"/>
      <c r="AP79" s="43"/>
    </row>
    <row r="80" spans="1:42" ht="50.1" customHeight="1">
      <c r="A80" s="51"/>
      <c r="B80" s="48"/>
      <c r="C80" s="48"/>
      <c r="D80" s="48"/>
      <c r="E80" s="48"/>
      <c r="F80" s="43"/>
      <c r="G80" s="43"/>
      <c r="H80" s="52"/>
      <c r="I80" s="52"/>
      <c r="J80" s="52"/>
      <c r="K80" s="52"/>
      <c r="L80" s="52"/>
      <c r="M80" s="52"/>
      <c r="N80" s="52"/>
      <c r="O80" s="415"/>
      <c r="P80" s="415"/>
      <c r="Q80" s="415"/>
      <c r="R80" s="415"/>
      <c r="S80" s="427"/>
      <c r="T80" s="43"/>
      <c r="U80" s="53"/>
      <c r="V80" s="54"/>
      <c r="W80" s="55"/>
      <c r="X80" s="53"/>
      <c r="Y80" s="53"/>
      <c r="Z80" s="43"/>
      <c r="AA80" s="43"/>
      <c r="AB80" s="415"/>
      <c r="AC80" s="415"/>
      <c r="AD80" s="43"/>
      <c r="AF80" s="415"/>
      <c r="AG80" s="415"/>
      <c r="AH80" s="43"/>
      <c r="AI80" s="43"/>
      <c r="AJ80" s="43"/>
      <c r="AK80" s="43"/>
      <c r="AL80" s="43"/>
      <c r="AO80" s="43"/>
      <c r="AP80" s="43"/>
    </row>
    <row r="81" spans="1:42" ht="50.1" customHeight="1">
      <c r="A81" s="51"/>
      <c r="B81" s="48"/>
      <c r="C81" s="48"/>
      <c r="D81" s="48"/>
      <c r="E81" s="48"/>
      <c r="F81" s="43"/>
      <c r="G81" s="43"/>
      <c r="H81" s="52"/>
      <c r="I81" s="52"/>
      <c r="J81" s="52"/>
      <c r="K81" s="52"/>
      <c r="L81" s="52"/>
      <c r="M81" s="52"/>
      <c r="N81" s="52"/>
      <c r="O81" s="415"/>
      <c r="P81" s="415"/>
      <c r="Q81" s="415"/>
      <c r="R81" s="415"/>
      <c r="S81" s="427"/>
      <c r="T81" s="43"/>
      <c r="U81" s="53"/>
      <c r="V81" s="54"/>
      <c r="W81" s="55"/>
      <c r="X81" s="53"/>
      <c r="Y81" s="53"/>
      <c r="Z81" s="43"/>
      <c r="AA81" s="43"/>
      <c r="AB81" s="415"/>
      <c r="AC81" s="415"/>
      <c r="AD81" s="43"/>
      <c r="AF81" s="415"/>
      <c r="AG81" s="415"/>
      <c r="AH81" s="43"/>
      <c r="AI81" s="43"/>
      <c r="AJ81" s="43"/>
      <c r="AK81" s="43"/>
      <c r="AL81" s="43"/>
      <c r="AO81" s="43"/>
      <c r="AP81" s="43"/>
    </row>
    <row r="82" spans="1:42" ht="50.1" customHeight="1">
      <c r="A82" s="51"/>
      <c r="B82" s="48"/>
      <c r="C82" s="48"/>
      <c r="D82" s="48"/>
      <c r="E82" s="48"/>
      <c r="F82" s="43"/>
      <c r="G82" s="43"/>
      <c r="H82" s="52"/>
      <c r="I82" s="52"/>
      <c r="J82" s="52"/>
      <c r="K82" s="52"/>
      <c r="L82" s="52"/>
      <c r="M82" s="52"/>
      <c r="N82" s="52"/>
      <c r="O82" s="415"/>
      <c r="P82" s="415"/>
      <c r="Q82" s="415"/>
      <c r="R82" s="415"/>
      <c r="S82" s="427"/>
      <c r="T82" s="43"/>
      <c r="U82" s="53"/>
      <c r="V82" s="54"/>
      <c r="W82" s="55"/>
      <c r="X82" s="53"/>
      <c r="Y82" s="53"/>
      <c r="Z82" s="43"/>
      <c r="AA82" s="43"/>
      <c r="AB82" s="415"/>
      <c r="AC82" s="415"/>
      <c r="AD82" s="43"/>
      <c r="AF82" s="415"/>
      <c r="AG82" s="415"/>
      <c r="AH82" s="43"/>
      <c r="AI82" s="43"/>
      <c r="AJ82" s="43"/>
      <c r="AK82" s="43"/>
      <c r="AL82" s="43"/>
      <c r="AO82" s="43"/>
      <c r="AP82" s="43"/>
    </row>
  </sheetData>
  <sheetProtection formatCells="0" autoFilter="0"/>
  <autoFilter ref="A5:AQ50" xr:uid="{C2570821-212E-48A8-8B5F-DA8A7B573FA6}"/>
  <mergeCells count="48">
    <mergeCell ref="AJ1:AN1"/>
    <mergeCell ref="AB1:AD1"/>
    <mergeCell ref="AF1:AH1"/>
    <mergeCell ref="A1:Z1"/>
    <mergeCell ref="B2:L2"/>
    <mergeCell ref="A3:A4"/>
    <mergeCell ref="B3:B4"/>
    <mergeCell ref="C3:C4"/>
    <mergeCell ref="D3:D4"/>
    <mergeCell ref="E3:E4"/>
    <mergeCell ref="X3:X4"/>
    <mergeCell ref="H3:H4"/>
    <mergeCell ref="P3:P4"/>
    <mergeCell ref="R3:R4"/>
    <mergeCell ref="T3:T4"/>
    <mergeCell ref="M3:M4"/>
    <mergeCell ref="N3:N4"/>
    <mergeCell ref="AP3:AP4"/>
    <mergeCell ref="B6:G6"/>
    <mergeCell ref="AB3:AD3"/>
    <mergeCell ref="AM3:AM4"/>
    <mergeCell ref="AF3:AH3"/>
    <mergeCell ref="AJ3:AJ4"/>
    <mergeCell ref="AK3:AK4"/>
    <mergeCell ref="AL3:AL4"/>
    <mergeCell ref="U3:U4"/>
    <mergeCell ref="V3:V4"/>
    <mergeCell ref="W3:W4"/>
    <mergeCell ref="Y3:Y4"/>
    <mergeCell ref="Z3:Z4"/>
    <mergeCell ref="AN3:AN4"/>
    <mergeCell ref="S3:S4"/>
    <mergeCell ref="F3:F4"/>
    <mergeCell ref="B46:G46"/>
    <mergeCell ref="O3:O4"/>
    <mergeCell ref="Q3:Q4"/>
    <mergeCell ref="I3:I4"/>
    <mergeCell ref="B36:G36"/>
    <mergeCell ref="B31:G31"/>
    <mergeCell ref="B41:G41"/>
    <mergeCell ref="B26:G26"/>
    <mergeCell ref="B16:G16"/>
    <mergeCell ref="B11:G11"/>
    <mergeCell ref="L3:L4"/>
    <mergeCell ref="K3:K4"/>
    <mergeCell ref="J3:J4"/>
    <mergeCell ref="B21:G21"/>
    <mergeCell ref="G3:G4"/>
  </mergeCells>
  <phoneticPr fontId="1" type="noConversion"/>
  <conditionalFormatting sqref="O1:O2 O5 O51:O1048576 AF1 AF3:AF10 AB1:AB10 AF12:AF15 AB12:AB15 AF17:AF20 AB17:AB20 AF22:AF25 AB22:AB25 AF27:AF30 AB27:AB30 AF32:AF35 AB32:AB35 AF37:AF40 AB37:AB40 AF42:AF45 AB42:AB45 AF47:AF1048576 AB47:AB1048576">
    <cfRule type="containsText" dxfId="142" priority="615" operator="containsText" text="금액입력">
      <formula>NOT(ISERROR(SEARCH("금액입력",O1)))</formula>
    </cfRule>
  </conditionalFormatting>
  <conditionalFormatting sqref="F1:G2 F11:G11 F16:G16 AJ51:AJ991 F21:G21 F26:G26 F31:G31 F36:G36 F41:G41 F46:G46 F51:G1048576 F5:G6">
    <cfRule type="containsText" dxfId="141" priority="614" operator="containsText" text="직접입력">
      <formula>NOT(ISERROR(SEARCH("직접입력",F1)))</formula>
    </cfRule>
  </conditionalFormatting>
  <conditionalFormatting sqref="K1:K6 K51:K1048576">
    <cfRule type="containsText" dxfId="140" priority="613" operator="containsText" text="세부사업명 입력">
      <formula>NOT(ISERROR(SEARCH("세부사업명 입력",K1)))</formula>
    </cfRule>
  </conditionalFormatting>
  <conditionalFormatting sqref="L1:N2 L6 L3:L4 L51:N1048576">
    <cfRule type="containsText" dxfId="139" priority="612" operator="containsText" text="부기명 입력">
      <formula>NOT(ISERROR(SEARCH("부기명 입력",L1)))</formula>
    </cfRule>
  </conditionalFormatting>
  <conditionalFormatting sqref="AJ7:AJ10 AJ12:AJ15 AJ17:AJ20 AJ22:AJ25 AJ27:AJ30 AJ32:AJ35 AJ37:AJ40 AJ42:AJ45 AJ47:AJ50">
    <cfRule type="containsText" dxfId="138" priority="611" operator="containsText" text="직접입력">
      <formula>NOT(ISERROR(SEARCH("직접입력",AJ7)))</formula>
    </cfRule>
  </conditionalFormatting>
  <conditionalFormatting sqref="L5">
    <cfRule type="containsText" dxfId="137" priority="610" operator="containsText" text="부기명 입력">
      <formula>NOT(ISERROR(SEARCH("부기명 입력",L5)))</formula>
    </cfRule>
  </conditionalFormatting>
  <conditionalFormatting sqref="K7:K10 K12:K15 K17:K20 K22:K25 K27:K30 K32:K35 K37:K40 K42:K45 K47:K50">
    <cfRule type="containsText" dxfId="136" priority="392" operator="containsText" text="세부사업명 입력">
      <formula>NOT(ISERROR(SEARCH("세부사업명 입력",K7)))</formula>
    </cfRule>
  </conditionalFormatting>
  <conditionalFormatting sqref="L7:L10 L12:L15 L17:L20 L22:L25 L27:L30 L32:L35 L37:L40 L42:L45 L47:L50">
    <cfRule type="containsText" dxfId="135" priority="391" operator="containsText" text="부기명 입력">
      <formula>NOT(ISERROR(SEARCH("부기명 입력",L7)))</formula>
    </cfRule>
  </conditionalFormatting>
  <conditionalFormatting sqref="O7:O10 O12:O15 O17:O20 O22:O25 O27:O30 O32:O35 O37:O40 O42:O45 O47:O50">
    <cfRule type="containsText" dxfId="134" priority="390" operator="containsText" text="금액입력">
      <formula>NOT(ISERROR(SEARCH("금액입력",O7)))</formula>
    </cfRule>
  </conditionalFormatting>
  <conditionalFormatting sqref="M6:S6">
    <cfRule type="containsText" dxfId="133" priority="386" operator="containsText" text="금액입력">
      <formula>NOT(ISERROR(SEARCH("금액입력",M6)))</formula>
    </cfRule>
  </conditionalFormatting>
  <conditionalFormatting sqref="M5:N5">
    <cfRule type="containsText" dxfId="132" priority="385" operator="containsText" text="금액입력">
      <formula>NOT(ISERROR(SEARCH("금액입력",M5)))</formula>
    </cfRule>
  </conditionalFormatting>
  <conditionalFormatting sqref="K11">
    <cfRule type="containsText" dxfId="131" priority="383" operator="containsText" text="세부사업명 입력">
      <formula>NOT(ISERROR(SEARCH("세부사업명 입력",K11)))</formula>
    </cfRule>
  </conditionalFormatting>
  <conditionalFormatting sqref="L11">
    <cfRule type="containsText" dxfId="130" priority="382" operator="containsText" text="부기명 입력">
      <formula>NOT(ISERROR(SEARCH("부기명 입력",L11)))</formula>
    </cfRule>
  </conditionalFormatting>
  <conditionalFormatting sqref="M11:S11">
    <cfRule type="containsText" dxfId="129" priority="375" operator="containsText" text="금액입력">
      <formula>NOT(ISERROR(SEARCH("금액입력",M11)))</formula>
    </cfRule>
  </conditionalFormatting>
  <conditionalFormatting sqref="K16">
    <cfRule type="containsText" dxfId="128" priority="373" operator="containsText" text="세부사업명 입력">
      <formula>NOT(ISERROR(SEARCH("세부사업명 입력",K16)))</formula>
    </cfRule>
  </conditionalFormatting>
  <conditionalFormatting sqref="L16">
    <cfRule type="containsText" dxfId="127" priority="372" operator="containsText" text="부기명 입력">
      <formula>NOT(ISERROR(SEARCH("부기명 입력",L16)))</formula>
    </cfRule>
  </conditionalFormatting>
  <conditionalFormatting sqref="M16:S16">
    <cfRule type="containsText" dxfId="126" priority="365" operator="containsText" text="금액입력">
      <formula>NOT(ISERROR(SEARCH("금액입력",M16)))</formula>
    </cfRule>
  </conditionalFormatting>
  <conditionalFormatting sqref="K21">
    <cfRule type="containsText" dxfId="125" priority="363" operator="containsText" text="세부사업명 입력">
      <formula>NOT(ISERROR(SEARCH("세부사업명 입력",K21)))</formula>
    </cfRule>
  </conditionalFormatting>
  <conditionalFormatting sqref="L21">
    <cfRule type="containsText" dxfId="124" priority="362" operator="containsText" text="부기명 입력">
      <formula>NOT(ISERROR(SEARCH("부기명 입력",L21)))</formula>
    </cfRule>
  </conditionalFormatting>
  <conditionalFormatting sqref="M21:S21">
    <cfRule type="containsText" dxfId="123" priority="355" operator="containsText" text="금액입력">
      <formula>NOT(ISERROR(SEARCH("금액입력",M21)))</formula>
    </cfRule>
  </conditionalFormatting>
  <conditionalFormatting sqref="K26">
    <cfRule type="containsText" dxfId="122" priority="353" operator="containsText" text="세부사업명 입력">
      <formula>NOT(ISERROR(SEARCH("세부사업명 입력",K26)))</formula>
    </cfRule>
  </conditionalFormatting>
  <conditionalFormatting sqref="L26">
    <cfRule type="containsText" dxfId="121" priority="352" operator="containsText" text="부기명 입력">
      <formula>NOT(ISERROR(SEARCH("부기명 입력",L26)))</formula>
    </cfRule>
  </conditionalFormatting>
  <conditionalFormatting sqref="M26:S26">
    <cfRule type="containsText" dxfId="120" priority="345" operator="containsText" text="금액입력">
      <formula>NOT(ISERROR(SEARCH("금액입력",M26)))</formula>
    </cfRule>
  </conditionalFormatting>
  <conditionalFormatting sqref="K31">
    <cfRule type="containsText" dxfId="119" priority="343" operator="containsText" text="세부사업명 입력">
      <formula>NOT(ISERROR(SEARCH("세부사업명 입력",K31)))</formula>
    </cfRule>
  </conditionalFormatting>
  <conditionalFormatting sqref="L31">
    <cfRule type="containsText" dxfId="118" priority="342" operator="containsText" text="부기명 입력">
      <formula>NOT(ISERROR(SEARCH("부기명 입력",L31)))</formula>
    </cfRule>
  </conditionalFormatting>
  <conditionalFormatting sqref="M31:S31">
    <cfRule type="containsText" dxfId="117" priority="335" operator="containsText" text="금액입력">
      <formula>NOT(ISERROR(SEARCH("금액입력",M31)))</formula>
    </cfRule>
  </conditionalFormatting>
  <conditionalFormatting sqref="K36">
    <cfRule type="containsText" dxfId="116" priority="333" operator="containsText" text="세부사업명 입력">
      <formula>NOT(ISERROR(SEARCH("세부사업명 입력",K36)))</formula>
    </cfRule>
  </conditionalFormatting>
  <conditionalFormatting sqref="L36">
    <cfRule type="containsText" dxfId="115" priority="332" operator="containsText" text="부기명 입력">
      <formula>NOT(ISERROR(SEARCH("부기명 입력",L36)))</formula>
    </cfRule>
  </conditionalFormatting>
  <conditionalFormatting sqref="M36:S36">
    <cfRule type="containsText" dxfId="114" priority="325" operator="containsText" text="금액입력">
      <formula>NOT(ISERROR(SEARCH("금액입력",M36)))</formula>
    </cfRule>
  </conditionalFormatting>
  <conditionalFormatting sqref="K41">
    <cfRule type="containsText" dxfId="113" priority="323" operator="containsText" text="세부사업명 입력">
      <formula>NOT(ISERROR(SEARCH("세부사업명 입력",K41)))</formula>
    </cfRule>
  </conditionalFormatting>
  <conditionalFormatting sqref="L41">
    <cfRule type="containsText" dxfId="112" priority="322" operator="containsText" text="부기명 입력">
      <formula>NOT(ISERROR(SEARCH("부기명 입력",L41)))</formula>
    </cfRule>
  </conditionalFormatting>
  <conditionalFormatting sqref="M41:S41">
    <cfRule type="containsText" dxfId="111" priority="315" operator="containsText" text="금액입력">
      <formula>NOT(ISERROR(SEARCH("금액입력",M41)))</formula>
    </cfRule>
  </conditionalFormatting>
  <conditionalFormatting sqref="K46">
    <cfRule type="containsText" dxfId="110" priority="313" operator="containsText" text="세부사업명 입력">
      <formula>NOT(ISERROR(SEARCH("세부사업명 입력",K46)))</formula>
    </cfRule>
  </conditionalFormatting>
  <conditionalFormatting sqref="L46">
    <cfRule type="containsText" dxfId="109" priority="312" operator="containsText" text="부기명 입력">
      <formula>NOT(ISERROR(SEARCH("부기명 입력",L46)))</formula>
    </cfRule>
  </conditionalFormatting>
  <conditionalFormatting sqref="M46:S46">
    <cfRule type="containsText" dxfId="108" priority="305" operator="containsText" text="금액입력">
      <formula>NOT(ISERROR(SEARCH("금액입력",M46)))</formula>
    </cfRule>
  </conditionalFormatting>
  <conditionalFormatting sqref="O3:O4">
    <cfRule type="containsText" dxfId="107" priority="304" operator="containsText" text="금액입력">
      <formula>NOT(ISERROR(SEARCH("금액입력",O3)))</formula>
    </cfRule>
  </conditionalFormatting>
  <conditionalFormatting sqref="F3:G4">
    <cfRule type="containsText" dxfId="106" priority="302" operator="containsText" text="직접입력">
      <formula>NOT(ISERROR(SEARCH("직접입력",F3)))</formula>
    </cfRule>
  </conditionalFormatting>
  <conditionalFormatting sqref="AF11 AB11">
    <cfRule type="containsText" dxfId="105" priority="285" operator="containsText" text="금액입력">
      <formula>NOT(ISERROR(SEARCH("금액입력",AB11)))</formula>
    </cfRule>
  </conditionalFormatting>
  <conditionalFormatting sqref="AF16 AB16">
    <cfRule type="containsText" dxfId="104" priority="283" operator="containsText" text="금액입력">
      <formula>NOT(ISERROR(SEARCH("금액입력",AB16)))</formula>
    </cfRule>
  </conditionalFormatting>
  <conditionalFormatting sqref="AF21 AB21">
    <cfRule type="containsText" dxfId="103" priority="281" operator="containsText" text="금액입력">
      <formula>NOT(ISERROR(SEARCH("금액입력",AB21)))</formula>
    </cfRule>
  </conditionalFormatting>
  <conditionalFormatting sqref="AF26 AB26">
    <cfRule type="containsText" dxfId="102" priority="279" operator="containsText" text="금액입력">
      <formula>NOT(ISERROR(SEARCH("금액입력",AB26)))</formula>
    </cfRule>
  </conditionalFormatting>
  <conditionalFormatting sqref="AF31 AB31">
    <cfRule type="containsText" dxfId="101" priority="277" operator="containsText" text="금액입력">
      <formula>NOT(ISERROR(SEARCH("금액입력",AB31)))</formula>
    </cfRule>
  </conditionalFormatting>
  <conditionalFormatting sqref="AF36 AB36">
    <cfRule type="containsText" dxfId="100" priority="275" operator="containsText" text="금액입력">
      <formula>NOT(ISERROR(SEARCH("금액입력",AB36)))</formula>
    </cfRule>
  </conditionalFormatting>
  <conditionalFormatting sqref="AF41 AB41">
    <cfRule type="containsText" dxfId="99" priority="273" operator="containsText" text="금액입력">
      <formula>NOT(ISERROR(SEARCH("금액입력",AB41)))</formula>
    </cfRule>
  </conditionalFormatting>
  <conditionalFormatting sqref="AF46 AB46">
    <cfRule type="containsText" dxfId="98" priority="271" operator="containsText" text="금액입력">
      <formula>NOT(ISERROR(SEARCH("금액입력",AB46)))</formula>
    </cfRule>
  </conditionalFormatting>
  <conditionalFormatting sqref="AC2">
    <cfRule type="containsText" dxfId="97" priority="269" operator="containsText" text="금액입력">
      <formula>NOT(ISERROR(SEARCH("금액입력",AC2)))</formula>
    </cfRule>
  </conditionalFormatting>
  <conditionalFormatting sqref="AF2">
    <cfRule type="containsText" dxfId="96" priority="268" operator="containsText" text="금액입력">
      <formula>NOT(ISERROR(SEARCH("금액입력",AF2)))</formula>
    </cfRule>
  </conditionalFormatting>
  <conditionalFormatting sqref="AG2">
    <cfRule type="containsText" dxfId="95" priority="267" operator="containsText" text="금액입력">
      <formula>NOT(ISERROR(SEARCH("금액입력",AG2)))</formula>
    </cfRule>
  </conditionalFormatting>
  <conditionalFormatting sqref="M3:N4">
    <cfRule type="containsText" dxfId="94" priority="266" operator="containsText" text="금액입력">
      <formula>NOT(ISERROR(SEARCH("금액입력",M3)))</formula>
    </cfRule>
  </conditionalFormatting>
  <conditionalFormatting sqref="B7:C10 B12:C15 B17:C20 B22:C25 B27:C30 B32:C35 B37:C40 B42:C45 B47:C50">
    <cfRule type="containsText" dxfId="93" priority="217" operator="containsText" text="직접입력">
      <formula>NOT(ISERROR(SEARCH("직접입력",B7)))</formula>
    </cfRule>
  </conditionalFormatting>
  <conditionalFormatting sqref="F7:G10">
    <cfRule type="containsText" dxfId="92" priority="171" operator="containsText" text="직접입력">
      <formula>NOT(ISERROR(SEARCH("직접입력",F7)))</formula>
    </cfRule>
  </conditionalFormatting>
  <conditionalFormatting sqref="M7:M10">
    <cfRule type="containsText" dxfId="91" priority="145" operator="containsText" text="부기명 입력">
      <formula>NOT(ISERROR(SEARCH("부기명 입력",M7)))</formula>
    </cfRule>
  </conditionalFormatting>
  <conditionalFormatting sqref="M7:M10">
    <cfRule type="containsText" dxfId="90" priority="144" operator="containsText" text="금액입력">
      <formula>NOT(ISERROR(SEARCH("금액입력",M7)))</formula>
    </cfRule>
  </conditionalFormatting>
  <conditionalFormatting sqref="N7:N10">
    <cfRule type="containsText" dxfId="89" priority="143" operator="containsText" text="금액입력">
      <formula>NOT(ISERROR(SEARCH("금액입력",N7)))</formula>
    </cfRule>
  </conditionalFormatting>
  <conditionalFormatting sqref="F12:G15">
    <cfRule type="containsText" dxfId="88" priority="32" operator="containsText" text="직접입력">
      <formula>NOT(ISERROR(SEARCH("직접입력",F12)))</formula>
    </cfRule>
  </conditionalFormatting>
  <conditionalFormatting sqref="F17:G20">
    <cfRule type="containsText" dxfId="87" priority="31" operator="containsText" text="직접입력">
      <formula>NOT(ISERROR(SEARCH("직접입력",F17)))</formula>
    </cfRule>
  </conditionalFormatting>
  <conditionalFormatting sqref="F22:G25">
    <cfRule type="containsText" dxfId="86" priority="30" operator="containsText" text="직접입력">
      <formula>NOT(ISERROR(SEARCH("직접입력",F22)))</formula>
    </cfRule>
  </conditionalFormatting>
  <conditionalFormatting sqref="F27:G30">
    <cfRule type="containsText" dxfId="85" priority="29" operator="containsText" text="직접입력">
      <formula>NOT(ISERROR(SEARCH("직접입력",F27)))</formula>
    </cfRule>
  </conditionalFormatting>
  <conditionalFormatting sqref="F32:G35">
    <cfRule type="containsText" dxfId="84" priority="28" operator="containsText" text="직접입력">
      <formula>NOT(ISERROR(SEARCH("직접입력",F32)))</formula>
    </cfRule>
  </conditionalFormatting>
  <conditionalFormatting sqref="F37:G40">
    <cfRule type="containsText" dxfId="83" priority="27" operator="containsText" text="직접입력">
      <formula>NOT(ISERROR(SEARCH("직접입력",F37)))</formula>
    </cfRule>
  </conditionalFormatting>
  <conditionalFormatting sqref="F42:G45">
    <cfRule type="containsText" dxfId="82" priority="26" operator="containsText" text="직접입력">
      <formula>NOT(ISERROR(SEARCH("직접입력",F42)))</formula>
    </cfRule>
  </conditionalFormatting>
  <conditionalFormatting sqref="F47:G50">
    <cfRule type="containsText" dxfId="81" priority="25" operator="containsText" text="직접입력">
      <formula>NOT(ISERROR(SEARCH("직접입력",F47)))</formula>
    </cfRule>
  </conditionalFormatting>
  <conditionalFormatting sqref="M12:M15">
    <cfRule type="containsText" dxfId="80" priority="24" operator="containsText" text="부기명 입력">
      <formula>NOT(ISERROR(SEARCH("부기명 입력",M12)))</formula>
    </cfRule>
  </conditionalFormatting>
  <conditionalFormatting sqref="M12:M15">
    <cfRule type="containsText" dxfId="79" priority="23" operator="containsText" text="금액입력">
      <formula>NOT(ISERROR(SEARCH("금액입력",M12)))</formula>
    </cfRule>
  </conditionalFormatting>
  <conditionalFormatting sqref="N12:N15">
    <cfRule type="containsText" dxfId="78" priority="22" operator="containsText" text="금액입력">
      <formula>NOT(ISERROR(SEARCH("금액입력",N12)))</formula>
    </cfRule>
  </conditionalFormatting>
  <conditionalFormatting sqref="M17:M20">
    <cfRule type="containsText" dxfId="77" priority="21" operator="containsText" text="부기명 입력">
      <formula>NOT(ISERROR(SEARCH("부기명 입력",M17)))</formula>
    </cfRule>
  </conditionalFormatting>
  <conditionalFormatting sqref="M17:M20">
    <cfRule type="containsText" dxfId="76" priority="20" operator="containsText" text="금액입력">
      <formula>NOT(ISERROR(SEARCH("금액입력",M17)))</formula>
    </cfRule>
  </conditionalFormatting>
  <conditionalFormatting sqref="N17:N20">
    <cfRule type="containsText" dxfId="75" priority="19" operator="containsText" text="금액입력">
      <formula>NOT(ISERROR(SEARCH("금액입력",N17)))</formula>
    </cfRule>
  </conditionalFormatting>
  <conditionalFormatting sqref="M22:M25">
    <cfRule type="containsText" dxfId="74" priority="18" operator="containsText" text="부기명 입력">
      <formula>NOT(ISERROR(SEARCH("부기명 입력",M22)))</formula>
    </cfRule>
  </conditionalFormatting>
  <conditionalFormatting sqref="M22:M25">
    <cfRule type="containsText" dxfId="73" priority="17" operator="containsText" text="금액입력">
      <formula>NOT(ISERROR(SEARCH("금액입력",M22)))</formula>
    </cfRule>
  </conditionalFormatting>
  <conditionalFormatting sqref="N22:N25">
    <cfRule type="containsText" dxfId="72" priority="16" operator="containsText" text="금액입력">
      <formula>NOT(ISERROR(SEARCH("금액입력",N22)))</formula>
    </cfRule>
  </conditionalFormatting>
  <conditionalFormatting sqref="M27:M30">
    <cfRule type="containsText" dxfId="71" priority="15" operator="containsText" text="부기명 입력">
      <formula>NOT(ISERROR(SEARCH("부기명 입력",M27)))</formula>
    </cfRule>
  </conditionalFormatting>
  <conditionalFormatting sqref="M27:M30">
    <cfRule type="containsText" dxfId="70" priority="14" operator="containsText" text="금액입력">
      <formula>NOT(ISERROR(SEARCH("금액입력",M27)))</formula>
    </cfRule>
  </conditionalFormatting>
  <conditionalFormatting sqref="N27:N30">
    <cfRule type="containsText" dxfId="69" priority="13" operator="containsText" text="금액입력">
      <formula>NOT(ISERROR(SEARCH("금액입력",N27)))</formula>
    </cfRule>
  </conditionalFormatting>
  <conditionalFormatting sqref="M32:M35">
    <cfRule type="containsText" dxfId="68" priority="12" operator="containsText" text="부기명 입력">
      <formula>NOT(ISERROR(SEARCH("부기명 입력",M32)))</formula>
    </cfRule>
  </conditionalFormatting>
  <conditionalFormatting sqref="M32:M35">
    <cfRule type="containsText" dxfId="67" priority="11" operator="containsText" text="금액입력">
      <formula>NOT(ISERROR(SEARCH("금액입력",M32)))</formula>
    </cfRule>
  </conditionalFormatting>
  <conditionalFormatting sqref="N32:N35">
    <cfRule type="containsText" dxfId="66" priority="10" operator="containsText" text="금액입력">
      <formula>NOT(ISERROR(SEARCH("금액입력",N32)))</formula>
    </cfRule>
  </conditionalFormatting>
  <conditionalFormatting sqref="M37:M40">
    <cfRule type="containsText" dxfId="65" priority="9" operator="containsText" text="부기명 입력">
      <formula>NOT(ISERROR(SEARCH("부기명 입력",M37)))</formula>
    </cfRule>
  </conditionalFormatting>
  <conditionalFormatting sqref="M37:M40">
    <cfRule type="containsText" dxfId="64" priority="8" operator="containsText" text="금액입력">
      <formula>NOT(ISERROR(SEARCH("금액입력",M37)))</formula>
    </cfRule>
  </conditionalFormatting>
  <conditionalFormatting sqref="N37:N40">
    <cfRule type="containsText" dxfId="63" priority="7" operator="containsText" text="금액입력">
      <formula>NOT(ISERROR(SEARCH("금액입력",N37)))</formula>
    </cfRule>
  </conditionalFormatting>
  <conditionalFormatting sqref="M42:M45">
    <cfRule type="containsText" dxfId="62" priority="6" operator="containsText" text="부기명 입력">
      <formula>NOT(ISERROR(SEARCH("부기명 입력",M42)))</formula>
    </cfRule>
  </conditionalFormatting>
  <conditionalFormatting sqref="M42:M45">
    <cfRule type="containsText" dxfId="61" priority="5" operator="containsText" text="금액입력">
      <formula>NOT(ISERROR(SEARCH("금액입력",M42)))</formula>
    </cfRule>
  </conditionalFormatting>
  <conditionalFormatting sqref="N42:N45">
    <cfRule type="containsText" dxfId="60" priority="4" operator="containsText" text="금액입력">
      <formula>NOT(ISERROR(SEARCH("금액입력",N42)))</formula>
    </cfRule>
  </conditionalFormatting>
  <conditionalFormatting sqref="M47:M50">
    <cfRule type="containsText" dxfId="59" priority="3" operator="containsText" text="부기명 입력">
      <formula>NOT(ISERROR(SEARCH("부기명 입력",M47)))</formula>
    </cfRule>
  </conditionalFormatting>
  <conditionalFormatting sqref="M47:M50">
    <cfRule type="containsText" dxfId="58" priority="2" operator="containsText" text="금액입력">
      <formula>NOT(ISERROR(SEARCH("금액입력",M47)))</formula>
    </cfRule>
  </conditionalFormatting>
  <conditionalFormatting sqref="N47:N50">
    <cfRule type="containsText" dxfId="57" priority="1" operator="containsText" text="금액입력">
      <formula>NOT(ISERROR(SEARCH("금액입력",N47)))</formula>
    </cfRule>
  </conditionalFormatting>
  <dataValidations count="5">
    <dataValidation type="list" allowBlank="1" showInputMessage="1" showErrorMessage="1" sqref="W7:W10 W42:W45 W12:W15 W17:W20 W22:W25 W27:W30 W32:W35 W37:W40 Y42:Y45 Y37:Y40 Y7:Y10 Y12:Y15 Y17:Y20 Y22:Y25 Y27:Y30 Y32:Y35 W47:W50 Y47:Y50" xr:uid="{00000000-0002-0000-0800-000000000000}">
      <formula1>"동의, 부동의, 미실시"</formula1>
    </dataValidation>
    <dataValidation type="list" allowBlank="1" showInputMessage="1" showErrorMessage="1" sqref="E5" xr:uid="{00000000-0002-0000-0800-000002000000}">
      <formula1>"본예산, 신규"</formula1>
    </dataValidation>
    <dataValidation type="list" allowBlank="1" showInputMessage="1" showErrorMessage="1" sqref="Z6 Z11 Z16 Z21 Z26 Z31 Z36 Z41 Z46 AJ41:AK41 AP6 AJ36:AK36 AM36 AJ6:AK6 AM6 AJ11:AK11 AM11 AJ16:AK16 AM16 AJ21:AK21 AM21 AJ26:AK26 AM26 AJ31:AK31 AM31 AM41 AP11 AP16 AP21 AP26 AP31 AP36 AP41 AP46 AJ46:AK46 AM46" xr:uid="{00000000-0002-0000-0800-000005000000}">
      <formula1>"도비,국도비"</formula1>
    </dataValidation>
    <dataValidation type="custom" allowBlank="1" showInputMessage="1" showErrorMessage="1" sqref="Z42:Z45 Z37:Z40 Z7:Z10 Z12:Z15 Z17:Z20 Z22:Z25 Z27:Z30 Z32:Z35 Z47:Z50" xr:uid="{1DADF9E7-3EBA-4232-A983-A3E5CC3ED697}">
      <formula1>"국도비, 도비"</formula1>
    </dataValidation>
    <dataValidation type="list" allowBlank="1" showInputMessage="1" showErrorMessage="1" sqref="E32:E35 E37:E40 E42:E45 E7:E10 E12:E15 E17:E20 E22:E25 E27:E30 E47:E50" xr:uid="{4AA6B1AC-97C2-4F58-BCE0-E0B68BFB9646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3" fitToHeight="0" orientation="landscape" r:id="rId1"/>
  <headerFooter>
    <oddFooter>&amp;C&amp;P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4F710-7777-42D9-9FA2-03F69CE8774B}">
  <sheetPr>
    <tabColor rgb="FF7030A0"/>
    <pageSetUpPr fitToPage="1"/>
  </sheetPr>
  <dimension ref="A1:Z33"/>
  <sheetViews>
    <sheetView view="pageBreakPreview" zoomScale="55" zoomScaleNormal="55" zoomScaleSheetLayoutView="55" workbookViewId="0">
      <pane ySplit="5" topLeftCell="A6" activePane="bottomLeft" state="frozen"/>
      <selection pane="bottomLeft" activeCell="A13" sqref="A13"/>
    </sheetView>
  </sheetViews>
  <sheetFormatPr defaultColWidth="9" defaultRowHeight="50.1" customHeight="1"/>
  <cols>
    <col min="1" max="1" width="11.75" style="20" customWidth="1"/>
    <col min="2" max="2" width="22.125" style="47" bestFit="1" customWidth="1"/>
    <col min="3" max="3" width="25.375" style="47" bestFit="1" customWidth="1"/>
    <col min="4" max="4" width="22.125" style="47" bestFit="1" customWidth="1"/>
    <col min="5" max="5" width="10.125" style="47" bestFit="1" customWidth="1"/>
    <col min="6" max="7" width="15.625" style="58" customWidth="1"/>
    <col min="8" max="8" width="21.5" style="58" customWidth="1"/>
    <col min="9" max="9" width="10.625" style="20" bestFit="1" customWidth="1"/>
    <col min="10" max="10" width="21.5" style="20" customWidth="1"/>
    <col min="11" max="11" width="33.25" style="20" customWidth="1"/>
    <col min="12" max="13" width="25.625" style="20" customWidth="1"/>
    <col min="14" max="18" width="25.625" style="380" customWidth="1"/>
    <col min="19" max="19" width="12.625" style="20" customWidth="1"/>
    <col min="20" max="20" width="19" style="29" customWidth="1"/>
    <col min="21" max="21" width="26.625" style="29" bestFit="1" customWidth="1"/>
    <col min="22" max="22" width="15.875" style="29" customWidth="1"/>
    <col min="23" max="23" width="26.5" style="29" customWidth="1"/>
    <col min="24" max="24" width="14.875" style="29" bestFit="1" customWidth="1"/>
    <col min="25" max="25" width="12.625" style="47" bestFit="1" customWidth="1"/>
    <col min="26" max="26" width="4.625" style="20" customWidth="1"/>
    <col min="27" max="16384" width="9" style="20"/>
  </cols>
  <sheetData>
    <row r="1" spans="1:26" ht="90" customHeight="1">
      <c r="A1" s="597" t="s">
        <v>1074</v>
      </c>
      <c r="B1" s="597"/>
      <c r="C1" s="597"/>
      <c r="D1" s="597"/>
      <c r="E1" s="597"/>
      <c r="F1" s="597"/>
      <c r="G1" s="597"/>
      <c r="H1" s="597"/>
      <c r="I1" s="597"/>
      <c r="J1" s="597"/>
      <c r="K1" s="597"/>
      <c r="L1" s="597"/>
      <c r="M1" s="597"/>
      <c r="N1" s="597"/>
      <c r="O1" s="597"/>
      <c r="P1" s="597"/>
      <c r="Q1" s="597"/>
      <c r="R1" s="597"/>
      <c r="S1" s="597"/>
      <c r="T1" s="597"/>
      <c r="U1" s="597"/>
      <c r="V1" s="597"/>
      <c r="W1" s="597"/>
      <c r="X1" s="597"/>
      <c r="Y1" s="597"/>
    </row>
    <row r="2" spans="1:26" s="43" customFormat="1" ht="39" customHeight="1">
      <c r="A2" s="51"/>
      <c r="B2" s="49"/>
      <c r="C2" s="48"/>
      <c r="D2" s="48"/>
      <c r="E2" s="48"/>
      <c r="F2" s="48"/>
      <c r="G2" s="48"/>
      <c r="H2" s="48"/>
      <c r="N2" s="415"/>
      <c r="O2" s="415"/>
      <c r="P2" s="415"/>
      <c r="Q2" s="415"/>
      <c r="R2" s="416">
        <f>R6-N6</f>
        <v>0</v>
      </c>
      <c r="Y2" s="48"/>
    </row>
    <row r="3" spans="1:26" ht="24.75" customHeight="1">
      <c r="A3" s="22"/>
      <c r="O3" s="382"/>
      <c r="P3" s="382"/>
      <c r="Q3" s="382"/>
      <c r="R3" s="382"/>
      <c r="S3" s="64"/>
      <c r="X3" s="292"/>
      <c r="Y3" s="61" t="s">
        <v>114</v>
      </c>
    </row>
    <row r="4" spans="1:26" s="272" customFormat="1" ht="60" customHeight="1">
      <c r="A4" s="579" t="s">
        <v>184</v>
      </c>
      <c r="B4" s="583" t="s">
        <v>110</v>
      </c>
      <c r="C4" s="583" t="s">
        <v>111</v>
      </c>
      <c r="D4" s="583" t="s">
        <v>112</v>
      </c>
      <c r="E4" s="584" t="s">
        <v>113</v>
      </c>
      <c r="F4" s="584" t="s">
        <v>1084</v>
      </c>
      <c r="G4" s="584" t="s">
        <v>251</v>
      </c>
      <c r="H4" s="622" t="s">
        <v>148</v>
      </c>
      <c r="I4" s="628" t="s">
        <v>505</v>
      </c>
      <c r="J4" s="579" t="s">
        <v>503</v>
      </c>
      <c r="K4" s="579" t="s">
        <v>504</v>
      </c>
      <c r="L4" s="580" t="s">
        <v>1642</v>
      </c>
      <c r="M4" s="580" t="s">
        <v>1637</v>
      </c>
      <c r="N4" s="580" t="s">
        <v>1076</v>
      </c>
      <c r="O4" s="568" t="s">
        <v>1077</v>
      </c>
      <c r="P4" s="567" t="s">
        <v>1080</v>
      </c>
      <c r="Q4" s="568" t="s">
        <v>1078</v>
      </c>
      <c r="R4" s="567" t="s">
        <v>1079</v>
      </c>
      <c r="S4" s="598" t="s">
        <v>253</v>
      </c>
      <c r="T4" s="567" t="s">
        <v>255</v>
      </c>
      <c r="U4" s="567" t="s">
        <v>254</v>
      </c>
      <c r="V4" s="567" t="s">
        <v>256</v>
      </c>
      <c r="W4" s="567" t="s">
        <v>761</v>
      </c>
      <c r="X4" s="567" t="s">
        <v>298</v>
      </c>
      <c r="Y4" s="584" t="s">
        <v>897</v>
      </c>
      <c r="Z4" s="271"/>
    </row>
    <row r="5" spans="1:26" s="272" customFormat="1" ht="60" customHeight="1">
      <c r="A5" s="579"/>
      <c r="B5" s="583"/>
      <c r="C5" s="583"/>
      <c r="D5" s="583"/>
      <c r="E5" s="584"/>
      <c r="F5" s="584"/>
      <c r="G5" s="584"/>
      <c r="H5" s="624"/>
      <c r="I5" s="630"/>
      <c r="J5" s="579"/>
      <c r="K5" s="579"/>
      <c r="L5" s="581"/>
      <c r="M5" s="581"/>
      <c r="N5" s="581"/>
      <c r="O5" s="570"/>
      <c r="P5" s="599"/>
      <c r="Q5" s="570"/>
      <c r="R5" s="599"/>
      <c r="S5" s="598"/>
      <c r="T5" s="567"/>
      <c r="U5" s="567"/>
      <c r="V5" s="567"/>
      <c r="W5" s="567"/>
      <c r="X5" s="567"/>
      <c r="Y5" s="583"/>
      <c r="Z5" s="271"/>
    </row>
    <row r="6" spans="1:26" s="329" customFormat="1" ht="80.099999999999994" customHeight="1">
      <c r="A6" s="328"/>
      <c r="B6" s="130" t="s">
        <v>252</v>
      </c>
      <c r="C6" s="331"/>
      <c r="D6" s="331"/>
      <c r="E6" s="331"/>
      <c r="F6" s="331"/>
      <c r="G6" s="331"/>
      <c r="H6" s="331"/>
      <c r="I6" s="326"/>
      <c r="J6" s="326"/>
      <c r="K6" s="327" t="str">
        <f>SUBTOTAL(3,K$7:K$1959)&amp;"건"</f>
        <v>0건</v>
      </c>
      <c r="L6" s="417">
        <f t="shared" ref="L6:M6" si="0">SUBTOTAL(9,L$7:L$1959)</f>
        <v>0</v>
      </c>
      <c r="M6" s="417">
        <f t="shared" si="0"/>
        <v>0</v>
      </c>
      <c r="N6" s="417">
        <f>SUBTOTAL(9,N$7:N$1959)</f>
        <v>0</v>
      </c>
      <c r="O6" s="417">
        <f>SUBTOTAL(9,O$7:O$1959)</f>
        <v>0</v>
      </c>
      <c r="P6" s="417">
        <f>SUBTOTAL(9,P$7:P$1959)</f>
        <v>0</v>
      </c>
      <c r="Q6" s="417">
        <f>SUBTOTAL(9,Q$7:Q$1959)</f>
        <v>0</v>
      </c>
      <c r="R6" s="417">
        <f>SUBTOTAL(9,R$7:R$1959)</f>
        <v>0</v>
      </c>
      <c r="S6" s="332"/>
      <c r="T6" s="332"/>
      <c r="U6" s="332"/>
      <c r="V6" s="332"/>
      <c r="W6" s="332"/>
      <c r="X6" s="332"/>
      <c r="Y6" s="333"/>
      <c r="Z6" s="334"/>
    </row>
    <row r="7" spans="1:26" ht="69.95" customHeight="1">
      <c r="A7" s="122"/>
      <c r="B7" s="664" t="s">
        <v>1072</v>
      </c>
      <c r="C7" s="664"/>
      <c r="D7" s="664"/>
      <c r="E7" s="664"/>
      <c r="F7" s="664"/>
      <c r="G7" s="664"/>
      <c r="H7" s="456"/>
      <c r="I7" s="123"/>
      <c r="J7" s="123"/>
      <c r="K7" s="291" t="str">
        <f>SUBTOTAL(3,K8:K11)&amp;"건"</f>
        <v>0건</v>
      </c>
      <c r="L7" s="384">
        <f t="shared" ref="L7:R7" si="1">SUBTOTAL(9,L8:L11)</f>
        <v>0</v>
      </c>
      <c r="M7" s="384">
        <f t="shared" si="1"/>
        <v>0</v>
      </c>
      <c r="N7" s="384">
        <f t="shared" si="1"/>
        <v>0</v>
      </c>
      <c r="O7" s="384">
        <f t="shared" si="1"/>
        <v>0</v>
      </c>
      <c r="P7" s="384">
        <f t="shared" si="1"/>
        <v>0</v>
      </c>
      <c r="Q7" s="384">
        <f t="shared" si="1"/>
        <v>0</v>
      </c>
      <c r="R7" s="384">
        <f t="shared" si="1"/>
        <v>0</v>
      </c>
      <c r="S7" s="122"/>
      <c r="T7" s="122"/>
      <c r="U7" s="122"/>
      <c r="V7" s="122"/>
      <c r="W7" s="122"/>
      <c r="X7" s="122"/>
      <c r="Y7" s="124"/>
      <c r="Z7" s="42"/>
    </row>
    <row r="8" spans="1:26" s="120" customFormat="1" ht="69.95" customHeight="1">
      <c r="A8" s="115" t="str">
        <f>IF(D8="","",COUNTA($C$7:C8)-COUNTBLANK($C$7:C8)+1)</f>
        <v/>
      </c>
      <c r="B8" s="116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16" t="str">
        <f>IF(D8="","",IF(OR(D8="교육지원과",D8="총무과",D8="인사과"),"직접입력",VLOOKUP(D8,구분표!$A$3:$C$258,3,)))</f>
        <v/>
      </c>
      <c r="D8" s="173"/>
      <c r="E8" s="161"/>
      <c r="F8" s="323" t="str">
        <f>IF($E8="","",IF($E8="2추","직접입력","-"))</f>
        <v/>
      </c>
      <c r="G8" s="323" t="str">
        <f>IF($E8="","",IF($E8="2추","직접입력","-"))</f>
        <v/>
      </c>
      <c r="H8" s="162"/>
      <c r="I8" s="162"/>
      <c r="J8" s="161"/>
      <c r="K8" s="163"/>
      <c r="L8" s="385" t="str">
        <f>IF($E8="","",IF(OR($E8="2추",  $E8="1추", $E8="본예산"), "금액입력", "-"))</f>
        <v/>
      </c>
      <c r="M8" s="385" t="str">
        <f>IF($E8="", "", IF($E8="2추","금액입력", "-"))</f>
        <v/>
      </c>
      <c r="N8" s="387" t="str">
        <f>IF($E8="","",SUM(L8:M8))</f>
        <v/>
      </c>
      <c r="O8" s="386"/>
      <c r="P8" s="387">
        <f>SUM(N8:O8)</f>
        <v>0</v>
      </c>
      <c r="Q8" s="388"/>
      <c r="R8" s="389">
        <f>SUM(N8,Q8)</f>
        <v>0</v>
      </c>
      <c r="S8" s="118" t="str">
        <f t="shared" ref="S8" si="2">IF(AND((P8=0),(R8&gt;0)),"O",IF(AND((O8&lt;0),(P8-R8&lt;0)),"O","X"))</f>
        <v>X</v>
      </c>
      <c r="T8" s="177"/>
      <c r="U8" s="176"/>
      <c r="V8" s="178"/>
      <c r="W8" s="179"/>
      <c r="X8" s="178"/>
      <c r="Y8" s="457"/>
      <c r="Z8" s="174"/>
    </row>
    <row r="9" spans="1:26" s="120" customFormat="1" ht="69.95" customHeight="1">
      <c r="A9" s="115" t="str">
        <f>IF(D9="","",COUNTA($C$7:C9)-COUNTBLANK($C$7:C9)+1)</f>
        <v/>
      </c>
      <c r="B9" s="116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16" t="str">
        <f>IF(D9="","",IF(OR(D9="교육지원과",D9="총무과",D9="인사과"),"직접입력",VLOOKUP(D9,구분표!$A$3:$C$258,3,)))</f>
        <v/>
      </c>
      <c r="D9" s="173"/>
      <c r="E9" s="161"/>
      <c r="F9" s="323" t="str">
        <f t="shared" ref="F9:G16" si="3">IF($E9="","",IF($E9="2추","직접입력","-"))</f>
        <v/>
      </c>
      <c r="G9" s="323" t="str">
        <f t="shared" si="3"/>
        <v/>
      </c>
      <c r="H9" s="162"/>
      <c r="I9" s="162"/>
      <c r="J9" s="161"/>
      <c r="K9" s="163"/>
      <c r="L9" s="385" t="str">
        <f t="shared" ref="L9:L11" si="4">IF($E9="","",IF(OR($E9="2추",  $E9="1추", $E9="본예산"), "금액입력", "-"))</f>
        <v/>
      </c>
      <c r="M9" s="385" t="str">
        <f t="shared" ref="M9:M11" si="5">IF($E9="", "", IF($E9="2추","금액입력", "-"))</f>
        <v/>
      </c>
      <c r="N9" s="387" t="str">
        <f t="shared" ref="N9:N11" si="6">IF($E9="","",SUM(L9:M9))</f>
        <v/>
      </c>
      <c r="O9" s="386"/>
      <c r="P9" s="387">
        <f t="shared" ref="P9:P11" si="7">SUM(N9:O9)</f>
        <v>0</v>
      </c>
      <c r="Q9" s="388"/>
      <c r="R9" s="389">
        <f t="shared" ref="R9:R11" si="8">SUM(N9,Q9)</f>
        <v>0</v>
      </c>
      <c r="S9" s="118" t="str">
        <f t="shared" ref="S9:S11" si="9">IF(AND((P9=0),(R9&gt;0)),"O",IF(AND((O9&lt;0),(P9-R9&lt;0)),"O","X"))</f>
        <v>X</v>
      </c>
      <c r="T9" s="177"/>
      <c r="U9" s="176"/>
      <c r="V9" s="178"/>
      <c r="W9" s="179"/>
      <c r="X9" s="178"/>
      <c r="Y9" s="457"/>
      <c r="Z9" s="174"/>
    </row>
    <row r="10" spans="1:26" s="120" customFormat="1" ht="69.95" customHeight="1">
      <c r="A10" s="115" t="str">
        <f>IF(D10="","",COUNTA($C$7:C10)-COUNTBLANK($C$7:C10)+1)</f>
        <v/>
      </c>
      <c r="B10" s="116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16" t="str">
        <f>IF(D10="","",IF(OR(D10="교육지원과",D10="총무과",D10="인사과"),"직접입력",VLOOKUP(D10,구분표!$A$3:$C$258,3,)))</f>
        <v/>
      </c>
      <c r="D10" s="173"/>
      <c r="E10" s="161"/>
      <c r="F10" s="323" t="str">
        <f t="shared" si="3"/>
        <v/>
      </c>
      <c r="G10" s="323" t="str">
        <f t="shared" si="3"/>
        <v/>
      </c>
      <c r="H10" s="162"/>
      <c r="I10" s="162"/>
      <c r="J10" s="161"/>
      <c r="K10" s="163"/>
      <c r="L10" s="385" t="str">
        <f t="shared" si="4"/>
        <v/>
      </c>
      <c r="M10" s="385" t="str">
        <f t="shared" si="5"/>
        <v/>
      </c>
      <c r="N10" s="387" t="str">
        <f t="shared" si="6"/>
        <v/>
      </c>
      <c r="O10" s="386"/>
      <c r="P10" s="387">
        <f t="shared" si="7"/>
        <v>0</v>
      </c>
      <c r="Q10" s="388"/>
      <c r="R10" s="389">
        <f t="shared" si="8"/>
        <v>0</v>
      </c>
      <c r="S10" s="118" t="str">
        <f t="shared" si="9"/>
        <v>X</v>
      </c>
      <c r="T10" s="177"/>
      <c r="U10" s="176"/>
      <c r="V10" s="178"/>
      <c r="W10" s="179"/>
      <c r="X10" s="178"/>
      <c r="Y10" s="457"/>
      <c r="Z10" s="174"/>
    </row>
    <row r="11" spans="1:26" s="120" customFormat="1" ht="69.95" customHeight="1">
      <c r="A11" s="115" t="str">
        <f>IF(D11="","",COUNTA($C$7:C11)-COUNTBLANK($C$7:C11)+1)</f>
        <v/>
      </c>
      <c r="B11" s="116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16" t="str">
        <f>IF(D11="","",IF(OR(D11="교육지원과",D11="총무과",D11="인사과"),"직접입력",VLOOKUP(D11,구분표!$A$3:$C$258,3,)))</f>
        <v/>
      </c>
      <c r="D11" s="173"/>
      <c r="E11" s="161"/>
      <c r="F11" s="323" t="str">
        <f t="shared" si="3"/>
        <v/>
      </c>
      <c r="G11" s="323" t="str">
        <f t="shared" si="3"/>
        <v/>
      </c>
      <c r="H11" s="162"/>
      <c r="I11" s="162"/>
      <c r="J11" s="161"/>
      <c r="K11" s="163"/>
      <c r="L11" s="385" t="str">
        <f t="shared" si="4"/>
        <v/>
      </c>
      <c r="M11" s="385" t="str">
        <f t="shared" si="5"/>
        <v/>
      </c>
      <c r="N11" s="387" t="str">
        <f t="shared" si="6"/>
        <v/>
      </c>
      <c r="O11" s="386"/>
      <c r="P11" s="387">
        <f t="shared" si="7"/>
        <v>0</v>
      </c>
      <c r="Q11" s="388"/>
      <c r="R11" s="389">
        <f t="shared" si="8"/>
        <v>0</v>
      </c>
      <c r="S11" s="118" t="str">
        <f t="shared" si="9"/>
        <v>X</v>
      </c>
      <c r="T11" s="177"/>
      <c r="U11" s="176"/>
      <c r="V11" s="178"/>
      <c r="W11" s="179"/>
      <c r="X11" s="178"/>
      <c r="Y11" s="457"/>
      <c r="Z11" s="174"/>
    </row>
    <row r="12" spans="1:26" ht="69.95" customHeight="1">
      <c r="A12" s="122"/>
      <c r="B12" s="664" t="s">
        <v>1073</v>
      </c>
      <c r="C12" s="664"/>
      <c r="D12" s="664"/>
      <c r="E12" s="664"/>
      <c r="F12" s="664"/>
      <c r="G12" s="664"/>
      <c r="H12" s="456"/>
      <c r="I12" s="123"/>
      <c r="J12" s="123"/>
      <c r="K12" s="291" t="str">
        <f>SUBTOTAL(3,K13:K16)&amp;"건"</f>
        <v>0건</v>
      </c>
      <c r="L12" s="384">
        <f t="shared" ref="L12:R12" si="10">SUBTOTAL(9,L13:L16)</f>
        <v>0</v>
      </c>
      <c r="M12" s="384">
        <f t="shared" si="10"/>
        <v>0</v>
      </c>
      <c r="N12" s="384">
        <f t="shared" si="10"/>
        <v>0</v>
      </c>
      <c r="O12" s="384">
        <f t="shared" si="10"/>
        <v>0</v>
      </c>
      <c r="P12" s="384">
        <f t="shared" si="10"/>
        <v>0</v>
      </c>
      <c r="Q12" s="384">
        <f t="shared" si="10"/>
        <v>0</v>
      </c>
      <c r="R12" s="384">
        <f t="shared" si="10"/>
        <v>0</v>
      </c>
      <c r="S12" s="122"/>
      <c r="T12" s="122"/>
      <c r="U12" s="122"/>
      <c r="V12" s="122"/>
      <c r="W12" s="122"/>
      <c r="X12" s="122"/>
      <c r="Y12" s="124"/>
      <c r="Z12" s="42"/>
    </row>
    <row r="13" spans="1:26" s="120" customFormat="1" ht="69.95" customHeight="1">
      <c r="A13" s="115" t="str">
        <f>IF(D13="","",COUNTA($C$7:C13)-COUNTBLANK($C$7:C13)+2)</f>
        <v/>
      </c>
      <c r="B13" s="116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16" t="str">
        <f>IF(D13="","",IF(OR(D13="교육지원과",D13="총무과",D13="인사과"),"직접입력",VLOOKUP(D13,구분표!$A$3:$C$258,3,)))</f>
        <v/>
      </c>
      <c r="D13" s="173"/>
      <c r="E13" s="161"/>
      <c r="F13" s="323" t="str">
        <f t="shared" si="3"/>
        <v/>
      </c>
      <c r="G13" s="323" t="str">
        <f t="shared" si="3"/>
        <v/>
      </c>
      <c r="H13" s="162"/>
      <c r="I13" s="162"/>
      <c r="J13" s="161"/>
      <c r="K13" s="163"/>
      <c r="L13" s="385" t="str">
        <f>IF($E13="","",IF(OR($E13="2추",  $E13="1추", $E13="본예산"), "금액입력", "-"))</f>
        <v/>
      </c>
      <c r="M13" s="385" t="str">
        <f>IF($E13="", "", IF($E13="2추","금액입력", "-"))</f>
        <v/>
      </c>
      <c r="N13" s="387" t="str">
        <f t="shared" ref="N13:N16" si="11">IF($E13="","",SUM(L13:M13))</f>
        <v/>
      </c>
      <c r="O13" s="386"/>
      <c r="P13" s="387">
        <f t="shared" ref="P13:P16" si="12">SUM(N13:O13)</f>
        <v>0</v>
      </c>
      <c r="Q13" s="388"/>
      <c r="R13" s="389">
        <f t="shared" ref="R13:R16" si="13">SUM(N13,Q13)</f>
        <v>0</v>
      </c>
      <c r="S13" s="118" t="str">
        <f t="shared" ref="S13:S16" si="14">IF(AND((P13=0),(R13&gt;0)),"O",IF(AND((O13&lt;0),(P13-R13&lt;0)),"O","X"))</f>
        <v>X</v>
      </c>
      <c r="T13" s="177"/>
      <c r="U13" s="176"/>
      <c r="V13" s="178"/>
      <c r="W13" s="179"/>
      <c r="X13" s="178"/>
      <c r="Y13" s="457"/>
      <c r="Z13" s="174"/>
    </row>
    <row r="14" spans="1:26" s="120" customFormat="1" ht="69.95" customHeight="1">
      <c r="A14" s="115" t="str">
        <f>IF(D14="","",COUNTA($C$7:C14)-COUNTBLANK($C$7:C14)+2)</f>
        <v/>
      </c>
      <c r="B14" s="116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16" t="str">
        <f>IF(D14="","",IF(OR(D14="교육지원과",D14="총무과",D14="인사과"),"직접입력",VLOOKUP(D14,구분표!$A$3:$C$258,3,)))</f>
        <v/>
      </c>
      <c r="D14" s="173"/>
      <c r="E14" s="161"/>
      <c r="F14" s="323" t="str">
        <f t="shared" si="3"/>
        <v/>
      </c>
      <c r="G14" s="323" t="str">
        <f t="shared" si="3"/>
        <v/>
      </c>
      <c r="H14" s="162"/>
      <c r="I14" s="162"/>
      <c r="J14" s="161"/>
      <c r="K14" s="163"/>
      <c r="L14" s="385" t="str">
        <f t="shared" ref="L14:L16" si="15">IF($E14="","",IF(OR($E14="2추",  $E14="1추", $E14="본예산"), "금액입력", "-"))</f>
        <v/>
      </c>
      <c r="M14" s="385" t="str">
        <f t="shared" ref="M14:M16" si="16">IF($E14="", "", IF($E14="2추","금액입력", "-"))</f>
        <v/>
      </c>
      <c r="N14" s="387" t="str">
        <f t="shared" si="11"/>
        <v/>
      </c>
      <c r="O14" s="386"/>
      <c r="P14" s="387">
        <f t="shared" si="12"/>
        <v>0</v>
      </c>
      <c r="Q14" s="388"/>
      <c r="R14" s="389">
        <f t="shared" si="13"/>
        <v>0</v>
      </c>
      <c r="S14" s="118" t="str">
        <f t="shared" si="14"/>
        <v>X</v>
      </c>
      <c r="T14" s="177"/>
      <c r="U14" s="176"/>
      <c r="V14" s="178"/>
      <c r="W14" s="179"/>
      <c r="X14" s="178"/>
      <c r="Y14" s="457"/>
      <c r="Z14" s="174"/>
    </row>
    <row r="15" spans="1:26" s="120" customFormat="1" ht="69.95" customHeight="1">
      <c r="A15" s="115" t="str">
        <f>IF(D15="","",COUNTA($C$7:C15)-COUNTBLANK($C$7:C15)+2)</f>
        <v/>
      </c>
      <c r="B15" s="116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16" t="str">
        <f>IF(D15="","",IF(OR(D15="교육지원과",D15="총무과",D15="인사과"),"직접입력",VLOOKUP(D15,구분표!$A$3:$C$258,3,)))</f>
        <v/>
      </c>
      <c r="D15" s="173"/>
      <c r="E15" s="161"/>
      <c r="F15" s="323" t="str">
        <f t="shared" si="3"/>
        <v/>
      </c>
      <c r="G15" s="323" t="str">
        <f t="shared" si="3"/>
        <v/>
      </c>
      <c r="H15" s="162"/>
      <c r="I15" s="162"/>
      <c r="J15" s="161"/>
      <c r="K15" s="163"/>
      <c r="L15" s="385" t="str">
        <f t="shared" si="15"/>
        <v/>
      </c>
      <c r="M15" s="385" t="str">
        <f t="shared" si="16"/>
        <v/>
      </c>
      <c r="N15" s="387" t="str">
        <f t="shared" si="11"/>
        <v/>
      </c>
      <c r="O15" s="386"/>
      <c r="P15" s="387">
        <f t="shared" si="12"/>
        <v>0</v>
      </c>
      <c r="Q15" s="388"/>
      <c r="R15" s="389">
        <f t="shared" si="13"/>
        <v>0</v>
      </c>
      <c r="S15" s="118" t="str">
        <f t="shared" si="14"/>
        <v>X</v>
      </c>
      <c r="T15" s="177"/>
      <c r="U15" s="176"/>
      <c r="V15" s="178"/>
      <c r="W15" s="179"/>
      <c r="X15" s="178"/>
      <c r="Y15" s="457"/>
      <c r="Z15" s="174"/>
    </row>
    <row r="16" spans="1:26" s="120" customFormat="1" ht="69.95" customHeight="1">
      <c r="A16" s="115" t="str">
        <f>IF(D16="","",COUNTA($C$7:C16)-COUNTBLANK($C$7:C16)+2)</f>
        <v/>
      </c>
      <c r="B16" s="116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16" t="str">
        <f>IF(D16="","",IF(OR(D16="교육지원과",D16="총무과",D16="인사과"),"직접입력",VLOOKUP(D16,구분표!$A$3:$C$258,3,)))</f>
        <v/>
      </c>
      <c r="D16" s="173"/>
      <c r="E16" s="161"/>
      <c r="F16" s="323" t="str">
        <f t="shared" si="3"/>
        <v/>
      </c>
      <c r="G16" s="323" t="str">
        <f t="shared" si="3"/>
        <v/>
      </c>
      <c r="H16" s="162"/>
      <c r="I16" s="162"/>
      <c r="J16" s="161"/>
      <c r="K16" s="163"/>
      <c r="L16" s="385" t="str">
        <f t="shared" si="15"/>
        <v/>
      </c>
      <c r="M16" s="385" t="str">
        <f t="shared" si="16"/>
        <v/>
      </c>
      <c r="N16" s="387" t="str">
        <f t="shared" si="11"/>
        <v/>
      </c>
      <c r="O16" s="386"/>
      <c r="P16" s="387">
        <f t="shared" si="12"/>
        <v>0</v>
      </c>
      <c r="Q16" s="388"/>
      <c r="R16" s="389">
        <f t="shared" si="13"/>
        <v>0</v>
      </c>
      <c r="S16" s="118" t="str">
        <f t="shared" si="14"/>
        <v>X</v>
      </c>
      <c r="T16" s="177"/>
      <c r="U16" s="176"/>
      <c r="V16" s="178"/>
      <c r="W16" s="179"/>
      <c r="X16" s="178"/>
      <c r="Y16" s="457"/>
      <c r="Z16" s="174"/>
    </row>
    <row r="17" spans="1:26" ht="36" customHeight="1">
      <c r="A17" s="67"/>
      <c r="B17" s="48"/>
      <c r="C17" s="48"/>
      <c r="D17" s="48"/>
      <c r="E17" s="48"/>
      <c r="I17" s="43"/>
      <c r="J17" s="43"/>
      <c r="K17" s="43"/>
      <c r="L17" s="43"/>
      <c r="M17" s="43"/>
      <c r="N17" s="415"/>
      <c r="O17" s="415"/>
      <c r="P17" s="415"/>
      <c r="Q17" s="415"/>
      <c r="R17" s="415"/>
      <c r="S17" s="43"/>
      <c r="T17" s="43"/>
      <c r="U17" s="43"/>
      <c r="V17" s="43"/>
      <c r="W17" s="43"/>
      <c r="X17" s="43"/>
      <c r="Y17" s="48"/>
      <c r="Z17" s="43"/>
    </row>
    <row r="18" spans="1:26" ht="50.1" customHeight="1">
      <c r="A18" s="43"/>
      <c r="B18" s="48"/>
      <c r="C18" s="48"/>
      <c r="D18" s="48"/>
      <c r="E18" s="48"/>
      <c r="I18" s="43"/>
      <c r="J18" s="43"/>
      <c r="K18" s="43"/>
      <c r="L18" s="43"/>
      <c r="M18" s="43"/>
      <c r="N18" s="415"/>
      <c r="O18" s="415"/>
      <c r="P18" s="415"/>
      <c r="Q18" s="415"/>
      <c r="R18" s="415"/>
      <c r="S18" s="43"/>
      <c r="T18" s="43"/>
      <c r="U18" s="43"/>
      <c r="V18" s="43"/>
      <c r="W18" s="43"/>
      <c r="X18" s="43"/>
      <c r="Y18" s="48"/>
      <c r="Z18" s="43"/>
    </row>
    <row r="19" spans="1:26" ht="50.1" customHeight="1">
      <c r="A19" s="43"/>
      <c r="B19" s="48"/>
      <c r="C19" s="48"/>
      <c r="D19" s="48"/>
      <c r="E19" s="48"/>
      <c r="I19" s="43"/>
      <c r="J19" s="43"/>
      <c r="K19" s="43"/>
      <c r="L19" s="43"/>
      <c r="M19" s="43"/>
      <c r="N19" s="415"/>
      <c r="O19" s="415"/>
      <c r="P19" s="415"/>
      <c r="Q19" s="415"/>
      <c r="R19" s="415"/>
      <c r="S19" s="43"/>
      <c r="T19" s="43"/>
      <c r="U19" s="43"/>
      <c r="V19" s="43"/>
      <c r="W19" s="43"/>
      <c r="X19" s="43"/>
      <c r="Y19" s="48"/>
      <c r="Z19" s="43"/>
    </row>
    <row r="20" spans="1:26" ht="50.1" customHeight="1">
      <c r="A20" s="43"/>
      <c r="B20" s="48"/>
      <c r="C20" s="48"/>
      <c r="D20" s="48"/>
      <c r="E20" s="48"/>
      <c r="I20" s="43"/>
      <c r="J20" s="43"/>
      <c r="K20" s="43"/>
      <c r="L20" s="43"/>
      <c r="M20" s="43"/>
      <c r="N20" s="415"/>
      <c r="O20" s="415"/>
      <c r="P20" s="415"/>
      <c r="Q20" s="415"/>
      <c r="R20" s="415"/>
      <c r="S20" s="43"/>
      <c r="T20" s="43"/>
      <c r="U20" s="43"/>
      <c r="V20" s="43"/>
      <c r="W20" s="43"/>
      <c r="X20" s="43"/>
      <c r="Y20" s="48"/>
      <c r="Z20" s="43"/>
    </row>
    <row r="21" spans="1:26" ht="50.1" customHeight="1">
      <c r="A21" s="43"/>
      <c r="B21" s="48"/>
      <c r="C21" s="48"/>
      <c r="D21" s="48"/>
      <c r="E21" s="48"/>
      <c r="I21" s="43"/>
      <c r="J21" s="43"/>
      <c r="K21" s="43"/>
      <c r="L21" s="43"/>
      <c r="M21" s="43"/>
      <c r="N21" s="415"/>
      <c r="O21" s="415"/>
      <c r="P21" s="415"/>
      <c r="Q21" s="415"/>
      <c r="R21" s="415"/>
      <c r="S21" s="43"/>
      <c r="T21" s="43"/>
      <c r="U21" s="43"/>
      <c r="V21" s="43"/>
      <c r="W21" s="43"/>
      <c r="X21" s="43"/>
      <c r="Y21" s="48"/>
      <c r="Z21" s="43"/>
    </row>
    <row r="22" spans="1:26" ht="50.1" customHeight="1">
      <c r="A22" s="43"/>
      <c r="B22" s="48"/>
      <c r="C22" s="48"/>
      <c r="D22" s="48"/>
      <c r="E22" s="48"/>
      <c r="I22" s="43"/>
      <c r="J22" s="43"/>
      <c r="K22" s="43"/>
      <c r="L22" s="43"/>
      <c r="M22" s="43"/>
      <c r="N22" s="415"/>
      <c r="O22" s="415"/>
      <c r="P22" s="415"/>
      <c r="Q22" s="415"/>
      <c r="R22" s="415"/>
      <c r="S22" s="43"/>
      <c r="T22" s="43"/>
      <c r="U22" s="43"/>
      <c r="V22" s="43"/>
      <c r="W22" s="43"/>
      <c r="X22" s="43"/>
      <c r="Y22" s="48"/>
      <c r="Z22" s="43"/>
    </row>
    <row r="23" spans="1:26" ht="50.1" customHeight="1">
      <c r="A23" s="43"/>
      <c r="B23" s="48"/>
      <c r="C23" s="48"/>
      <c r="D23" s="48"/>
      <c r="E23" s="48"/>
      <c r="I23" s="43"/>
      <c r="J23" s="43"/>
      <c r="K23" s="43"/>
      <c r="L23" s="43"/>
      <c r="M23" s="43"/>
      <c r="N23" s="415"/>
      <c r="O23" s="415"/>
      <c r="P23" s="415"/>
      <c r="Q23" s="415"/>
      <c r="R23" s="415"/>
      <c r="S23" s="43"/>
      <c r="T23" s="43"/>
      <c r="U23" s="43"/>
      <c r="V23" s="43"/>
      <c r="W23" s="43"/>
      <c r="X23" s="43"/>
      <c r="Y23" s="48"/>
      <c r="Z23" s="43"/>
    </row>
    <row r="24" spans="1:26" ht="50.1" customHeight="1">
      <c r="A24" s="43"/>
      <c r="B24" s="48"/>
      <c r="C24" s="48"/>
      <c r="D24" s="48"/>
      <c r="E24" s="48"/>
      <c r="I24" s="43"/>
      <c r="J24" s="43"/>
      <c r="K24" s="43"/>
      <c r="L24" s="43"/>
      <c r="M24" s="43"/>
      <c r="N24" s="415"/>
      <c r="O24" s="415"/>
      <c r="P24" s="415"/>
      <c r="Q24" s="415"/>
      <c r="R24" s="415"/>
      <c r="S24" s="43"/>
      <c r="T24" s="43"/>
      <c r="U24" s="43"/>
      <c r="V24" s="43"/>
      <c r="W24" s="43"/>
      <c r="X24" s="43"/>
      <c r="Y24" s="48"/>
      <c r="Z24" s="43"/>
    </row>
    <row r="25" spans="1:26" ht="50.1" customHeight="1">
      <c r="A25" s="43"/>
      <c r="B25" s="48"/>
      <c r="C25" s="48"/>
      <c r="D25" s="48"/>
      <c r="E25" s="48"/>
      <c r="I25" s="43"/>
      <c r="J25" s="43"/>
      <c r="K25" s="43"/>
      <c r="L25" s="43"/>
      <c r="M25" s="43"/>
      <c r="N25" s="415"/>
      <c r="O25" s="415"/>
      <c r="P25" s="415"/>
      <c r="Q25" s="415"/>
      <c r="R25" s="415"/>
      <c r="S25" s="43"/>
      <c r="T25" s="43"/>
      <c r="U25" s="43"/>
      <c r="V25" s="43"/>
      <c r="W25" s="43"/>
      <c r="X25" s="43"/>
      <c r="Y25" s="48"/>
      <c r="Z25" s="43"/>
    </row>
    <row r="26" spans="1:26" ht="50.1" customHeight="1">
      <c r="A26" s="43"/>
      <c r="B26" s="48"/>
      <c r="C26" s="48"/>
      <c r="D26" s="48"/>
      <c r="E26" s="48"/>
      <c r="I26" s="43"/>
      <c r="J26" s="43"/>
      <c r="K26" s="43"/>
      <c r="L26" s="43"/>
      <c r="M26" s="43"/>
      <c r="N26" s="415"/>
      <c r="O26" s="415"/>
      <c r="P26" s="415"/>
      <c r="Q26" s="415"/>
      <c r="R26" s="415"/>
      <c r="S26" s="43"/>
      <c r="T26" s="43"/>
      <c r="U26" s="43"/>
      <c r="V26" s="43"/>
      <c r="W26" s="43"/>
      <c r="X26" s="43"/>
      <c r="Y26" s="48"/>
      <c r="Z26" s="43"/>
    </row>
    <row r="27" spans="1:26" ht="50.1" customHeight="1">
      <c r="A27" s="43"/>
      <c r="B27" s="48"/>
      <c r="C27" s="48"/>
      <c r="D27" s="48"/>
      <c r="E27" s="48"/>
      <c r="I27" s="43"/>
      <c r="J27" s="43"/>
      <c r="K27" s="43"/>
      <c r="L27" s="43"/>
      <c r="M27" s="43"/>
      <c r="N27" s="415"/>
      <c r="O27" s="415"/>
      <c r="P27" s="415"/>
      <c r="Q27" s="415"/>
      <c r="R27" s="415"/>
      <c r="S27" s="43"/>
      <c r="T27" s="43"/>
      <c r="U27" s="43"/>
      <c r="V27" s="43"/>
      <c r="W27" s="43"/>
      <c r="X27" s="43"/>
      <c r="Y27" s="48"/>
      <c r="Z27" s="43"/>
    </row>
    <row r="28" spans="1:26" ht="50.1" customHeight="1">
      <c r="A28" s="43"/>
      <c r="B28" s="48"/>
      <c r="C28" s="48"/>
      <c r="D28" s="48"/>
      <c r="E28" s="48"/>
      <c r="I28" s="43"/>
      <c r="J28" s="43"/>
      <c r="K28" s="43"/>
      <c r="L28" s="43"/>
      <c r="M28" s="43"/>
      <c r="N28" s="415"/>
      <c r="O28" s="415"/>
      <c r="P28" s="415"/>
      <c r="Q28" s="415"/>
      <c r="R28" s="415"/>
      <c r="S28" s="43"/>
      <c r="T28" s="43"/>
      <c r="U28" s="43"/>
      <c r="V28" s="43"/>
      <c r="W28" s="43"/>
      <c r="X28" s="43"/>
      <c r="Y28" s="48"/>
      <c r="Z28" s="43"/>
    </row>
    <row r="29" spans="1:26" ht="50.1" customHeight="1">
      <c r="A29" s="43"/>
      <c r="B29" s="48"/>
      <c r="C29" s="48"/>
      <c r="D29" s="48"/>
      <c r="E29" s="48"/>
      <c r="I29" s="43"/>
      <c r="J29" s="43"/>
      <c r="K29" s="43"/>
      <c r="L29" s="43"/>
      <c r="M29" s="43"/>
      <c r="N29" s="415"/>
      <c r="O29" s="415"/>
      <c r="P29" s="415"/>
      <c r="Q29" s="415"/>
      <c r="R29" s="415"/>
      <c r="S29" s="43"/>
      <c r="T29" s="43"/>
      <c r="U29" s="43"/>
      <c r="V29" s="43"/>
      <c r="W29" s="43"/>
      <c r="X29" s="43"/>
      <c r="Y29" s="48"/>
      <c r="Z29" s="43"/>
    </row>
    <row r="30" spans="1:26" ht="50.1" customHeight="1">
      <c r="A30" s="43"/>
      <c r="B30" s="48"/>
      <c r="C30" s="48"/>
      <c r="D30" s="48"/>
      <c r="E30" s="48"/>
      <c r="I30" s="43"/>
      <c r="J30" s="43"/>
      <c r="K30" s="43"/>
      <c r="L30" s="43"/>
      <c r="M30" s="43"/>
      <c r="N30" s="415"/>
      <c r="O30" s="415"/>
      <c r="P30" s="415"/>
      <c r="Q30" s="415"/>
      <c r="R30" s="415"/>
      <c r="S30" s="43"/>
      <c r="T30" s="43"/>
      <c r="U30" s="43"/>
      <c r="V30" s="43"/>
      <c r="W30" s="43"/>
      <c r="X30" s="43"/>
      <c r="Y30" s="48"/>
      <c r="Z30" s="43"/>
    </row>
    <row r="31" spans="1:26" ht="50.1" customHeight="1">
      <c r="A31" s="43"/>
      <c r="B31" s="48"/>
      <c r="C31" s="48"/>
      <c r="D31" s="48"/>
      <c r="E31" s="48"/>
      <c r="I31" s="43"/>
      <c r="J31" s="43"/>
      <c r="K31" s="43"/>
      <c r="L31" s="43"/>
      <c r="M31" s="43"/>
      <c r="N31" s="415"/>
      <c r="O31" s="415"/>
      <c r="P31" s="415"/>
      <c r="Q31" s="415"/>
      <c r="R31" s="415"/>
      <c r="S31" s="43"/>
      <c r="T31" s="43"/>
      <c r="U31" s="43"/>
      <c r="V31" s="43"/>
      <c r="W31" s="43"/>
      <c r="X31" s="43"/>
      <c r="Y31" s="48"/>
      <c r="Z31" s="43"/>
    </row>
    <row r="32" spans="1:26" ht="50.1" customHeight="1">
      <c r="A32" s="43"/>
      <c r="B32" s="48"/>
      <c r="C32" s="48"/>
      <c r="D32" s="48"/>
      <c r="E32" s="48"/>
      <c r="I32" s="43"/>
      <c r="J32" s="43"/>
      <c r="K32" s="43"/>
      <c r="L32" s="43"/>
      <c r="M32" s="43"/>
      <c r="N32" s="415"/>
      <c r="O32" s="415"/>
      <c r="P32" s="415"/>
      <c r="Q32" s="415"/>
      <c r="R32" s="415"/>
      <c r="S32" s="43"/>
      <c r="T32" s="43"/>
      <c r="U32" s="43"/>
      <c r="V32" s="43"/>
      <c r="W32" s="43"/>
      <c r="X32" s="43"/>
      <c r="Y32" s="48"/>
      <c r="Z32" s="43"/>
    </row>
    <row r="33" spans="1:26" ht="50.1" customHeight="1">
      <c r="A33" s="43"/>
      <c r="B33" s="48"/>
      <c r="C33" s="48"/>
      <c r="D33" s="48"/>
      <c r="E33" s="48"/>
      <c r="I33" s="43"/>
      <c r="J33" s="43"/>
      <c r="K33" s="43"/>
      <c r="L33" s="43"/>
      <c r="M33" s="43"/>
      <c r="N33" s="415"/>
      <c r="O33" s="415"/>
      <c r="P33" s="415"/>
      <c r="Q33" s="415"/>
      <c r="R33" s="415"/>
      <c r="S33" s="43"/>
      <c r="T33" s="43"/>
      <c r="U33" s="43"/>
      <c r="V33" s="43"/>
      <c r="W33" s="43"/>
      <c r="X33" s="43"/>
      <c r="Y33" s="48"/>
      <c r="Z33" s="43"/>
    </row>
  </sheetData>
  <sheetProtection formatCells="0" autoFilter="0"/>
  <autoFilter ref="A6:Z16" xr:uid="{8996D4C0-C09C-45E6-A346-C15D9EE747D3}"/>
  <mergeCells count="28">
    <mergeCell ref="B7:G7"/>
    <mergeCell ref="B12:G12"/>
    <mergeCell ref="W4:W5"/>
    <mergeCell ref="X4:X5"/>
    <mergeCell ref="I4:I5"/>
    <mergeCell ref="J4:J5"/>
    <mergeCell ref="K4:K5"/>
    <mergeCell ref="N4:N5"/>
    <mergeCell ref="O4:O5"/>
    <mergeCell ref="P4:P5"/>
    <mergeCell ref="L4:L5"/>
    <mergeCell ref="M4:M5"/>
    <mergeCell ref="A1:Y1"/>
    <mergeCell ref="A4:A5"/>
    <mergeCell ref="B4:B5"/>
    <mergeCell ref="C4:C5"/>
    <mergeCell ref="D4:D5"/>
    <mergeCell ref="E4:E5"/>
    <mergeCell ref="F4:F5"/>
    <mergeCell ref="G4:G5"/>
    <mergeCell ref="Y4:Y5"/>
    <mergeCell ref="Q4:Q5"/>
    <mergeCell ref="R4:R5"/>
    <mergeCell ref="S4:S5"/>
    <mergeCell ref="T4:T5"/>
    <mergeCell ref="U4:U5"/>
    <mergeCell ref="V4:V5"/>
    <mergeCell ref="H4:H5"/>
  </mergeCells>
  <phoneticPr fontId="1" type="noConversion"/>
  <conditionalFormatting sqref="F1:H3 F6:H7 F12:H12 F17:H1048576 H4">
    <cfRule type="containsText" dxfId="56" priority="94" operator="containsText" text="직접입력">
      <formula>NOT(ISERROR(SEARCH("직접입력",F1)))</formula>
    </cfRule>
  </conditionalFormatting>
  <conditionalFormatting sqref="N1:N3 N6 N17:N1048576">
    <cfRule type="containsText" dxfId="55" priority="93" operator="containsText" text="금액입력">
      <formula>NOT(ISERROR(SEARCH("금액입력",N1)))</formula>
    </cfRule>
  </conditionalFormatting>
  <conditionalFormatting sqref="K1:M3 K17:M1048576 K4:K16">
    <cfRule type="containsText" dxfId="54" priority="92" operator="containsText" text="부기명 입력">
      <formula>NOT(ISERROR(SEARCH("부기명 입력",K1)))</formula>
    </cfRule>
  </conditionalFormatting>
  <conditionalFormatting sqref="L7:R7">
    <cfRule type="containsText" dxfId="53" priority="78" operator="containsText" text="금액입력">
      <formula>NOT(ISERROR(SEARCH("금액입력",L7)))</formula>
    </cfRule>
  </conditionalFormatting>
  <conditionalFormatting sqref="L6:M6">
    <cfRule type="containsText" dxfId="52" priority="77" operator="containsText" text="금액입력">
      <formula>NOT(ISERROR(SEARCH("금액입력",L6)))</formula>
    </cfRule>
  </conditionalFormatting>
  <conditionalFormatting sqref="L12:R12">
    <cfRule type="containsText" dxfId="51" priority="61" operator="containsText" text="금액입력">
      <formula>NOT(ISERROR(SEARCH("금액입력",L12)))</formula>
    </cfRule>
  </conditionalFormatting>
  <conditionalFormatting sqref="N8:N11 N13:N16">
    <cfRule type="containsText" dxfId="50" priority="70" operator="containsText" text="금액입력">
      <formula>NOT(ISERROR(SEARCH("금액입력",N8)))</formula>
    </cfRule>
  </conditionalFormatting>
  <conditionalFormatting sqref="N4:N5">
    <cfRule type="containsText" dxfId="49" priority="56" operator="containsText" text="금액입력">
      <formula>NOT(ISERROR(SEARCH("금액입력",N4)))</formula>
    </cfRule>
  </conditionalFormatting>
  <conditionalFormatting sqref="F4:G5">
    <cfRule type="containsText" dxfId="48" priority="54" operator="containsText" text="직접입력">
      <formula>NOT(ISERROR(SEARCH("직접입력",F4)))</formula>
    </cfRule>
  </conditionalFormatting>
  <conditionalFormatting sqref="L4:M5">
    <cfRule type="containsText" dxfId="47" priority="53" operator="containsText" text="금액입력">
      <formula>NOT(ISERROR(SEARCH("금액입력",L4)))</formula>
    </cfRule>
  </conditionalFormatting>
  <conditionalFormatting sqref="B8:C11 B13:C16">
    <cfRule type="containsText" dxfId="46" priority="45" operator="containsText" text="직접입력">
      <formula>NOT(ISERROR(SEARCH("직접입력",B8)))</formula>
    </cfRule>
  </conditionalFormatting>
  <conditionalFormatting sqref="F8:G11 F13:G16">
    <cfRule type="containsText" dxfId="45" priority="30" operator="containsText" text="직접입력">
      <formula>NOT(ISERROR(SEARCH("직접입력",F8)))</formula>
    </cfRule>
  </conditionalFormatting>
  <conditionalFormatting sqref="L8:L11">
    <cfRule type="containsText" dxfId="44" priority="27" operator="containsText" text="부기명 입력">
      <formula>NOT(ISERROR(SEARCH("부기명 입력",L8)))</formula>
    </cfRule>
  </conditionalFormatting>
  <conditionalFormatting sqref="L8:L11">
    <cfRule type="containsText" dxfId="43" priority="26" operator="containsText" text="금액입력">
      <formula>NOT(ISERROR(SEARCH("금액입력",L8)))</formula>
    </cfRule>
  </conditionalFormatting>
  <conditionalFormatting sqref="M8:M11">
    <cfRule type="containsText" dxfId="42" priority="25" operator="containsText" text="금액입력">
      <formula>NOT(ISERROR(SEARCH("금액입력",M8)))</formula>
    </cfRule>
  </conditionalFormatting>
  <conditionalFormatting sqref="L8:L11">
    <cfRule type="containsText" dxfId="41" priority="24" operator="containsText" text="부기명 입력">
      <formula>NOT(ISERROR(SEARCH("부기명 입력",L8)))</formula>
    </cfRule>
  </conditionalFormatting>
  <conditionalFormatting sqref="L8:L11">
    <cfRule type="containsText" dxfId="40" priority="23" operator="containsText" text="금액입력">
      <formula>NOT(ISERROR(SEARCH("금액입력",L8)))</formula>
    </cfRule>
  </conditionalFormatting>
  <conditionalFormatting sqref="M8:M11">
    <cfRule type="containsText" dxfId="39" priority="22" operator="containsText" text="금액입력">
      <formula>NOT(ISERROR(SEARCH("금액입력",M8)))</formula>
    </cfRule>
  </conditionalFormatting>
  <conditionalFormatting sqref="L13:L16">
    <cfRule type="containsText" dxfId="38" priority="6" operator="containsText" text="부기명 입력">
      <formula>NOT(ISERROR(SEARCH("부기명 입력",L13)))</formula>
    </cfRule>
  </conditionalFormatting>
  <conditionalFormatting sqref="L13:L16">
    <cfRule type="containsText" dxfId="37" priority="5" operator="containsText" text="금액입력">
      <formula>NOT(ISERROR(SEARCH("금액입력",L13)))</formula>
    </cfRule>
  </conditionalFormatting>
  <conditionalFormatting sqref="M13:M16">
    <cfRule type="containsText" dxfId="36" priority="4" operator="containsText" text="금액입력">
      <formula>NOT(ISERROR(SEARCH("금액입력",M13)))</formula>
    </cfRule>
  </conditionalFormatting>
  <conditionalFormatting sqref="L13:L16">
    <cfRule type="containsText" dxfId="35" priority="3" operator="containsText" text="부기명 입력">
      <formula>NOT(ISERROR(SEARCH("부기명 입력",L13)))</formula>
    </cfRule>
  </conditionalFormatting>
  <conditionalFormatting sqref="L13:L16">
    <cfRule type="containsText" dxfId="34" priority="2" operator="containsText" text="금액입력">
      <formula>NOT(ISERROR(SEARCH("금액입력",L13)))</formula>
    </cfRule>
  </conditionalFormatting>
  <conditionalFormatting sqref="M13:M16">
    <cfRule type="containsText" dxfId="33" priority="1" operator="containsText" text="금액입력">
      <formula>NOT(ISERROR(SEARCH("금액입력",M13)))</formula>
    </cfRule>
  </conditionalFormatting>
  <dataValidations count="3">
    <dataValidation type="list" allowBlank="1" showInputMessage="1" showErrorMessage="1" sqref="E6" xr:uid="{FA19D126-B763-4F1F-9404-DEDAAD5D877F}">
      <formula1>"본예산, 신규"</formula1>
    </dataValidation>
    <dataValidation type="list" allowBlank="1" showInputMessage="1" showErrorMessage="1" sqref="V8:V11 V13:V16" xr:uid="{677DA674-F66E-4C67-A4CB-69F73FEF495F}">
      <formula1>"동의, 부동의, 미실시"</formula1>
    </dataValidation>
    <dataValidation type="list" allowBlank="1" showInputMessage="1" showErrorMessage="1" sqref="E13:E16 E8:E11" xr:uid="{FE65DBF1-A2FA-4805-B19B-6F78F9CFCD7E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5" fitToHeight="0" orientation="landscape" r:id="rId1"/>
  <headerFooter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7D8FA-27E3-4574-BDF5-75754B537BD0}">
  <sheetPr>
    <tabColor rgb="FF7030A0"/>
    <pageSetUpPr fitToPage="1"/>
  </sheetPr>
  <dimension ref="A1:AB46"/>
  <sheetViews>
    <sheetView view="pageBreakPreview" zoomScale="55" zoomScaleNormal="60" zoomScaleSheetLayoutView="55" workbookViewId="0">
      <pane ySplit="4" topLeftCell="A5" activePane="bottomLeft" state="frozen"/>
      <selection pane="bottomLeft" activeCell="A12" sqref="A12"/>
    </sheetView>
  </sheetViews>
  <sheetFormatPr defaultColWidth="9" defaultRowHeight="50.1" customHeight="1"/>
  <cols>
    <col min="1" max="1" width="7.875" style="22" bestFit="1" customWidth="1"/>
    <col min="2" max="2" width="22.375" style="47" bestFit="1" customWidth="1"/>
    <col min="3" max="3" width="20.625" style="47" customWidth="1"/>
    <col min="4" max="4" width="19.75" style="47" customWidth="1"/>
    <col min="5" max="5" width="10.375" style="47" bestFit="1" customWidth="1"/>
    <col min="6" max="7" width="15.625" style="20" customWidth="1"/>
    <col min="8" max="8" width="20.375" style="26" bestFit="1" customWidth="1"/>
    <col min="9" max="10" width="16.125" style="26" bestFit="1" customWidth="1"/>
    <col min="11" max="11" width="37" style="26" customWidth="1"/>
    <col min="12" max="12" width="33.5" style="26" customWidth="1"/>
    <col min="13" max="14" width="25.625" style="26" customWidth="1"/>
    <col min="15" max="18" width="25.625" style="380" customWidth="1"/>
    <col min="19" max="19" width="25.625" style="404" customWidth="1"/>
    <col min="20" max="20" width="12.625" style="20" customWidth="1"/>
    <col min="21" max="21" width="19.625" style="31" bestFit="1" customWidth="1"/>
    <col min="22" max="22" width="26.625" style="32" bestFit="1" customWidth="1"/>
    <col min="23" max="23" width="14.875" style="33" bestFit="1" customWidth="1"/>
    <col min="24" max="24" width="25.625" style="21" customWidth="1"/>
    <col min="25" max="25" width="36.25" style="21" customWidth="1"/>
    <col min="26" max="26" width="16.5" style="20" bestFit="1" customWidth="1"/>
    <col min="27" max="27" width="3.625" style="20" customWidth="1"/>
    <col min="28" max="28" width="9" style="20" customWidth="1"/>
    <col min="29" max="16384" width="9" style="20"/>
  </cols>
  <sheetData>
    <row r="1" spans="1:28" ht="93" customHeight="1">
      <c r="A1" s="620" t="s">
        <v>1075</v>
      </c>
      <c r="B1" s="620"/>
      <c r="C1" s="620"/>
      <c r="D1" s="620"/>
      <c r="E1" s="620"/>
      <c r="F1" s="620"/>
      <c r="G1" s="620"/>
      <c r="H1" s="620"/>
      <c r="I1" s="620"/>
      <c r="J1" s="620"/>
      <c r="K1" s="620"/>
      <c r="L1" s="620"/>
      <c r="M1" s="620"/>
      <c r="N1" s="620"/>
      <c r="O1" s="620"/>
      <c r="P1" s="620"/>
      <c r="Q1" s="620"/>
      <c r="R1" s="620"/>
      <c r="S1" s="620"/>
      <c r="T1" s="620"/>
      <c r="U1" s="620"/>
      <c r="V1" s="620"/>
      <c r="W1" s="620"/>
      <c r="X1" s="620"/>
      <c r="Y1" s="620"/>
      <c r="Z1" s="620"/>
    </row>
    <row r="2" spans="1:28" ht="39.75" customHeight="1">
      <c r="B2" s="652"/>
      <c r="C2" s="652"/>
      <c r="D2" s="652"/>
      <c r="E2" s="652"/>
      <c r="F2" s="652"/>
      <c r="G2" s="652"/>
      <c r="H2" s="652"/>
      <c r="I2" s="652"/>
      <c r="J2" s="652"/>
      <c r="K2" s="652"/>
      <c r="L2" s="652"/>
      <c r="M2" s="465"/>
      <c r="N2" s="465"/>
      <c r="O2" s="422"/>
      <c r="P2" s="399">
        <f>SUM(P6:P119)/2</f>
        <v>0</v>
      </c>
      <c r="Q2" s="399">
        <f>SUM(Q6:Q119)/2</f>
        <v>0</v>
      </c>
      <c r="R2" s="399">
        <f>SUM(R6:R119)/2</f>
        <v>0</v>
      </c>
      <c r="S2" s="399">
        <f>SUM(S6:S119)/2</f>
        <v>0</v>
      </c>
      <c r="T2" s="64"/>
      <c r="U2" s="30"/>
      <c r="V2" s="30"/>
      <c r="W2" s="34"/>
      <c r="X2" s="61"/>
      <c r="Y2" s="61"/>
      <c r="Z2" s="61" t="s">
        <v>114</v>
      </c>
    </row>
    <row r="3" spans="1:28" s="272" customFormat="1" ht="60" customHeight="1">
      <c r="A3" s="579" t="s">
        <v>184</v>
      </c>
      <c r="B3" s="583" t="s">
        <v>110</v>
      </c>
      <c r="C3" s="583" t="s">
        <v>111</v>
      </c>
      <c r="D3" s="583" t="s">
        <v>112</v>
      </c>
      <c r="E3" s="584" t="s">
        <v>113</v>
      </c>
      <c r="F3" s="584" t="s">
        <v>1084</v>
      </c>
      <c r="G3" s="584" t="s">
        <v>251</v>
      </c>
      <c r="H3" s="669" t="s">
        <v>502</v>
      </c>
      <c r="I3" s="579" t="s">
        <v>269</v>
      </c>
      <c r="J3" s="579" t="s">
        <v>270</v>
      </c>
      <c r="K3" s="579" t="s">
        <v>758</v>
      </c>
      <c r="L3" s="579" t="s">
        <v>504</v>
      </c>
      <c r="M3" s="580" t="s">
        <v>1642</v>
      </c>
      <c r="N3" s="580" t="s">
        <v>1637</v>
      </c>
      <c r="O3" s="580" t="s">
        <v>1076</v>
      </c>
      <c r="P3" s="568" t="s">
        <v>1077</v>
      </c>
      <c r="Q3" s="567" t="s">
        <v>1080</v>
      </c>
      <c r="R3" s="568" t="s">
        <v>1078</v>
      </c>
      <c r="S3" s="567" t="s">
        <v>1079</v>
      </c>
      <c r="T3" s="598" t="s">
        <v>253</v>
      </c>
      <c r="U3" s="567" t="s">
        <v>255</v>
      </c>
      <c r="V3" s="567" t="s">
        <v>254</v>
      </c>
      <c r="W3" s="567" t="s">
        <v>256</v>
      </c>
      <c r="X3" s="598" t="s">
        <v>761</v>
      </c>
      <c r="Y3" s="598" t="s">
        <v>298</v>
      </c>
      <c r="Z3" s="668" t="s">
        <v>897</v>
      </c>
    </row>
    <row r="4" spans="1:28" s="272" customFormat="1" ht="60" customHeight="1">
      <c r="A4" s="579"/>
      <c r="B4" s="583"/>
      <c r="C4" s="583"/>
      <c r="D4" s="583"/>
      <c r="E4" s="584"/>
      <c r="F4" s="584"/>
      <c r="G4" s="584"/>
      <c r="H4" s="670"/>
      <c r="I4" s="579"/>
      <c r="J4" s="579"/>
      <c r="K4" s="579"/>
      <c r="L4" s="579"/>
      <c r="M4" s="581"/>
      <c r="N4" s="581"/>
      <c r="O4" s="581"/>
      <c r="P4" s="570"/>
      <c r="Q4" s="599"/>
      <c r="R4" s="570"/>
      <c r="S4" s="599"/>
      <c r="T4" s="598"/>
      <c r="U4" s="567"/>
      <c r="V4" s="567"/>
      <c r="W4" s="567"/>
      <c r="X4" s="598"/>
      <c r="Y4" s="598"/>
      <c r="Z4" s="626"/>
    </row>
    <row r="5" spans="1:28" s="360" customFormat="1" ht="80.099999999999994" customHeight="1">
      <c r="A5" s="362"/>
      <c r="B5" s="132" t="s">
        <v>128</v>
      </c>
      <c r="C5" s="353" t="s">
        <v>191</v>
      </c>
      <c r="D5" s="354"/>
      <c r="E5" s="355"/>
      <c r="F5" s="363"/>
      <c r="G5" s="363"/>
      <c r="H5" s="364" t="s">
        <v>191</v>
      </c>
      <c r="I5" s="364" t="s">
        <v>191</v>
      </c>
      <c r="J5" s="364" t="s">
        <v>191</v>
      </c>
      <c r="K5" s="364" t="s">
        <v>191</v>
      </c>
      <c r="L5" s="316" t="str">
        <f>SUBTOTAL(3,L$7:L$1955)&amp;"건"</f>
        <v>0건</v>
      </c>
      <c r="M5" s="423">
        <f t="shared" ref="M5:N5" si="0">SUBTOTAL(9,M$6:M$1955)</f>
        <v>0</v>
      </c>
      <c r="N5" s="423">
        <f t="shared" si="0"/>
        <v>0</v>
      </c>
      <c r="O5" s="423">
        <f>SUBTOTAL(9,O$6:O$1955)</f>
        <v>0</v>
      </c>
      <c r="P5" s="423">
        <f>SUBTOTAL(9,P$6:P$1955)</f>
        <v>0</v>
      </c>
      <c r="Q5" s="423">
        <f>SUBTOTAL(9,Q$6:Q$1955)</f>
        <v>0</v>
      </c>
      <c r="R5" s="423">
        <f>SUBTOTAL(9,R$6:R$1955)</f>
        <v>0</v>
      </c>
      <c r="S5" s="423">
        <f>SUBTOTAL(9,S$6:S$1955)</f>
        <v>0</v>
      </c>
      <c r="T5" s="133"/>
      <c r="U5" s="365"/>
      <c r="V5" s="366"/>
      <c r="W5" s="362"/>
      <c r="X5" s="367"/>
      <c r="Y5" s="367"/>
      <c r="Z5" s="368"/>
      <c r="AA5" s="38"/>
    </row>
    <row r="6" spans="1:28" ht="60" customHeight="1">
      <c r="A6" s="125"/>
      <c r="B6" s="666" t="s">
        <v>1072</v>
      </c>
      <c r="C6" s="666"/>
      <c r="D6" s="666"/>
      <c r="E6" s="666"/>
      <c r="F6" s="666"/>
      <c r="G6" s="666"/>
      <c r="H6" s="126"/>
      <c r="I6" s="126"/>
      <c r="J6" s="126"/>
      <c r="K6" s="126"/>
      <c r="L6" s="295" t="str">
        <f>SUBTOTAL(3,L7:L10)&amp;"건"</f>
        <v>0건</v>
      </c>
      <c r="M6" s="403">
        <f t="shared" ref="M6:S6" si="1">SUBTOTAL(9,M7:M10)</f>
        <v>0</v>
      </c>
      <c r="N6" s="403">
        <f t="shared" si="1"/>
        <v>0</v>
      </c>
      <c r="O6" s="403">
        <f t="shared" si="1"/>
        <v>0</v>
      </c>
      <c r="P6" s="403">
        <f t="shared" si="1"/>
        <v>0</v>
      </c>
      <c r="Q6" s="403">
        <f t="shared" si="1"/>
        <v>0</v>
      </c>
      <c r="R6" s="403">
        <f t="shared" si="1"/>
        <v>0</v>
      </c>
      <c r="S6" s="403">
        <f t="shared" si="1"/>
        <v>0</v>
      </c>
      <c r="T6" s="125"/>
      <c r="U6" s="127"/>
      <c r="V6" s="127"/>
      <c r="W6" s="128"/>
      <c r="X6" s="129"/>
      <c r="Y6" s="129"/>
      <c r="Z6" s="71"/>
      <c r="AA6" s="43"/>
    </row>
    <row r="7" spans="1:28" ht="80.099999999999994" customHeight="1">
      <c r="A7" s="115" t="str">
        <f>IF(D7="","",COUNTA($C$6:C7)-COUNTBLANK($C$6:C7)+1)</f>
        <v/>
      </c>
      <c r="B7" s="116" t="str">
        <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f>
        <v/>
      </c>
      <c r="C7" s="116" t="str">
        <f>IF(D7="","",IF(OR(D7="교육지원과",D7="총무과",D7="인사과"),"직접입력",VLOOKUP(D7,구분표!$A$3:$C$258,3,)))</f>
        <v/>
      </c>
      <c r="D7" s="173"/>
      <c r="E7" s="161"/>
      <c r="F7" s="323" t="str">
        <f>IF($E7="","",IF($E7="2추","직접입력","-"))</f>
        <v/>
      </c>
      <c r="G7" s="323" t="str">
        <f>IF($E7="","",IF($E7="2추","직접입력","-"))</f>
        <v/>
      </c>
      <c r="H7" s="161"/>
      <c r="I7" s="161"/>
      <c r="J7" s="161"/>
      <c r="K7" s="166"/>
      <c r="L7" s="166"/>
      <c r="M7" s="385" t="str">
        <f>IF($E7="","",IF(OR($E7="2추", $E7="1추", $E7="본예산"), "금액입력", "-"))</f>
        <v/>
      </c>
      <c r="N7" s="385" t="str">
        <f>IF($E7="", "", IF($E7="2추","금액입력", "-"))</f>
        <v/>
      </c>
      <c r="O7" s="387" t="str">
        <f>IF($E7="","",SUM(M7:N7))</f>
        <v/>
      </c>
      <c r="P7" s="386"/>
      <c r="Q7" s="387">
        <f>SUM(O7:P7)</f>
        <v>0</v>
      </c>
      <c r="R7" s="388"/>
      <c r="S7" s="389">
        <f>SUM(O7,R7)</f>
        <v>0</v>
      </c>
      <c r="T7" s="118" t="str">
        <f t="shared" ref="T7" si="2">IF(AND((Q7=0),(S7&gt;0)),"O",IF(AND((P7&lt;0),(Q7-S7&lt;0)),"O","X"))</f>
        <v>X</v>
      </c>
      <c r="U7" s="180"/>
      <c r="V7" s="172"/>
      <c r="W7" s="165"/>
      <c r="X7" s="181"/>
      <c r="Y7" s="463"/>
      <c r="Z7" s="325"/>
      <c r="AA7" s="119"/>
      <c r="AB7" s="27"/>
    </row>
    <row r="8" spans="1:28" ht="80.099999999999994" customHeight="1">
      <c r="A8" s="115" t="str">
        <f>IF(D8="","",COUNTA($C$6:C8)-COUNTBLANK($C$6:C8)+1)</f>
        <v/>
      </c>
      <c r="B8" s="116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16" t="str">
        <f>IF(D8="","",IF(OR(D8="교육지원과",D8="총무과",D8="인사과"),"직접입력",VLOOKUP(D8,구분표!$A$3:$C$258,3,)))</f>
        <v/>
      </c>
      <c r="D8" s="173"/>
      <c r="E8" s="161"/>
      <c r="F8" s="323" t="str">
        <f t="shared" ref="F8:G10" si="3">IF($E8="","",IF($E8="2추","직접입력","-"))</f>
        <v/>
      </c>
      <c r="G8" s="323" t="str">
        <f t="shared" si="3"/>
        <v/>
      </c>
      <c r="H8" s="161"/>
      <c r="I8" s="161"/>
      <c r="J8" s="161"/>
      <c r="K8" s="166"/>
      <c r="L8" s="166"/>
      <c r="M8" s="385" t="str">
        <f t="shared" ref="M8:M10" si="4">IF($E8="","",IF(OR($E8="2추", $E8="1추", $E8="본예산"), "금액입력", "-"))</f>
        <v/>
      </c>
      <c r="N8" s="385" t="str">
        <f t="shared" ref="N8:N10" si="5">IF($E8="", "", IF($E8="2추","금액입력", "-"))</f>
        <v/>
      </c>
      <c r="O8" s="387" t="str">
        <f t="shared" ref="O8:O10" si="6">IF($E8="","",SUM(M8:N8))</f>
        <v/>
      </c>
      <c r="P8" s="386"/>
      <c r="Q8" s="387">
        <f t="shared" ref="Q8:Q10" si="7">SUM(O8:P8)</f>
        <v>0</v>
      </c>
      <c r="R8" s="388"/>
      <c r="S8" s="389">
        <f t="shared" ref="S8:S10" si="8">SUM(O8,R8)</f>
        <v>0</v>
      </c>
      <c r="T8" s="118" t="str">
        <f t="shared" ref="T8:T10" si="9">IF(AND((Q8=0),(S8&gt;0)),"O",IF(AND((P8&lt;0),(Q8-S8&lt;0)),"O","X"))</f>
        <v>X</v>
      </c>
      <c r="U8" s="180"/>
      <c r="V8" s="172"/>
      <c r="W8" s="165"/>
      <c r="X8" s="181"/>
      <c r="Y8" s="463"/>
      <c r="Z8" s="325"/>
      <c r="AA8" s="119"/>
      <c r="AB8" s="27"/>
    </row>
    <row r="9" spans="1:28" ht="80.099999999999994" customHeight="1">
      <c r="A9" s="115" t="str">
        <f>IF(D9="","",COUNTA($C$6:C9)-COUNTBLANK($C$6:C9)+1)</f>
        <v/>
      </c>
      <c r="B9" s="116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16" t="str">
        <f>IF(D9="","",IF(OR(D9="교육지원과",D9="총무과",D9="인사과"),"직접입력",VLOOKUP(D9,구분표!$A$3:$C$258,3,)))</f>
        <v/>
      </c>
      <c r="D9" s="173"/>
      <c r="E9" s="161"/>
      <c r="F9" s="323" t="str">
        <f t="shared" si="3"/>
        <v/>
      </c>
      <c r="G9" s="323" t="str">
        <f t="shared" si="3"/>
        <v/>
      </c>
      <c r="H9" s="161"/>
      <c r="I9" s="161"/>
      <c r="J9" s="161"/>
      <c r="K9" s="166"/>
      <c r="L9" s="166"/>
      <c r="M9" s="385" t="str">
        <f t="shared" si="4"/>
        <v/>
      </c>
      <c r="N9" s="385" t="str">
        <f t="shared" si="5"/>
        <v/>
      </c>
      <c r="O9" s="387" t="str">
        <f t="shared" si="6"/>
        <v/>
      </c>
      <c r="P9" s="386"/>
      <c r="Q9" s="387">
        <f t="shared" si="7"/>
        <v>0</v>
      </c>
      <c r="R9" s="388"/>
      <c r="S9" s="389">
        <f t="shared" si="8"/>
        <v>0</v>
      </c>
      <c r="T9" s="118" t="str">
        <f t="shared" si="9"/>
        <v>X</v>
      </c>
      <c r="U9" s="180"/>
      <c r="V9" s="172"/>
      <c r="W9" s="165"/>
      <c r="X9" s="181"/>
      <c r="Y9" s="463"/>
      <c r="Z9" s="325"/>
      <c r="AA9" s="119"/>
      <c r="AB9" s="27"/>
    </row>
    <row r="10" spans="1:28" ht="80.099999999999994" customHeight="1">
      <c r="A10" s="115" t="str">
        <f>IF(D10="","",COUNTA($C$6:C10)-COUNTBLANK($C$6:C10)+1)</f>
        <v/>
      </c>
      <c r="B10" s="116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16" t="str">
        <f>IF(D10="","",IF(OR(D10="교육지원과",D10="총무과",D10="인사과"),"직접입력",VLOOKUP(D10,구분표!$A$3:$C$258,3,)))</f>
        <v/>
      </c>
      <c r="D10" s="173"/>
      <c r="E10" s="161"/>
      <c r="F10" s="323" t="str">
        <f t="shared" si="3"/>
        <v/>
      </c>
      <c r="G10" s="323" t="str">
        <f t="shared" si="3"/>
        <v/>
      </c>
      <c r="H10" s="161"/>
      <c r="I10" s="161"/>
      <c r="J10" s="161"/>
      <c r="K10" s="166"/>
      <c r="L10" s="166"/>
      <c r="M10" s="385" t="str">
        <f t="shared" si="4"/>
        <v/>
      </c>
      <c r="N10" s="385" t="str">
        <f t="shared" si="5"/>
        <v/>
      </c>
      <c r="O10" s="387" t="str">
        <f t="shared" si="6"/>
        <v/>
      </c>
      <c r="P10" s="386"/>
      <c r="Q10" s="387">
        <f t="shared" si="7"/>
        <v>0</v>
      </c>
      <c r="R10" s="388"/>
      <c r="S10" s="389">
        <f t="shared" si="8"/>
        <v>0</v>
      </c>
      <c r="T10" s="118" t="str">
        <f t="shared" si="9"/>
        <v>X</v>
      </c>
      <c r="U10" s="180"/>
      <c r="V10" s="172"/>
      <c r="W10" s="165"/>
      <c r="X10" s="181"/>
      <c r="Y10" s="463"/>
      <c r="Z10" s="325"/>
      <c r="AA10" s="119"/>
      <c r="AB10" s="27"/>
    </row>
    <row r="11" spans="1:28" ht="60" customHeight="1">
      <c r="A11" s="125"/>
      <c r="B11" s="666" t="s">
        <v>1073</v>
      </c>
      <c r="C11" s="666"/>
      <c r="D11" s="666"/>
      <c r="E11" s="666"/>
      <c r="F11" s="666"/>
      <c r="G11" s="666"/>
      <c r="H11" s="126"/>
      <c r="I11" s="126"/>
      <c r="J11" s="126"/>
      <c r="K11" s="126"/>
      <c r="L11" s="295" t="str">
        <f>SUBTOTAL(3,L12:L15)&amp;"건"</f>
        <v>0건</v>
      </c>
      <c r="M11" s="403">
        <f t="shared" ref="M11:S11" si="10">SUBTOTAL(9,M12:M15)</f>
        <v>0</v>
      </c>
      <c r="N11" s="403">
        <f t="shared" si="10"/>
        <v>0</v>
      </c>
      <c r="O11" s="403">
        <f t="shared" si="10"/>
        <v>0</v>
      </c>
      <c r="P11" s="403">
        <f t="shared" si="10"/>
        <v>0</v>
      </c>
      <c r="Q11" s="403">
        <f t="shared" si="10"/>
        <v>0</v>
      </c>
      <c r="R11" s="403">
        <f t="shared" si="10"/>
        <v>0</v>
      </c>
      <c r="S11" s="403">
        <f t="shared" si="10"/>
        <v>0</v>
      </c>
      <c r="T11" s="125"/>
      <c r="U11" s="127"/>
      <c r="V11" s="127"/>
      <c r="W11" s="128"/>
      <c r="X11" s="129"/>
      <c r="Y11" s="129"/>
      <c r="Z11" s="71"/>
      <c r="AA11" s="43"/>
    </row>
    <row r="12" spans="1:28" ht="80.099999999999994" customHeight="1">
      <c r="A12" s="115" t="str">
        <f>IF(D12="","",COUNTA($C$6:C12)-COUNTBLANK($C$6:C12)+2)</f>
        <v/>
      </c>
      <c r="B12" s="116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16" t="str">
        <f>IF(D12="","",IF(OR(D12="교육지원과",D12="총무과",D12="인사과"),"직접입력",VLOOKUP(D12,구분표!$A$3:$C$258,3,)))</f>
        <v/>
      </c>
      <c r="D12" s="173"/>
      <c r="E12" s="161"/>
      <c r="F12" s="323" t="str">
        <f>IF($E12="","",IF($E12="2추","직접입력","-"))</f>
        <v/>
      </c>
      <c r="G12" s="323" t="str">
        <f>IF($E12="","",IF($E12="2추","직접입력","-"))</f>
        <v/>
      </c>
      <c r="H12" s="161"/>
      <c r="I12" s="161"/>
      <c r="J12" s="161"/>
      <c r="K12" s="166"/>
      <c r="L12" s="166"/>
      <c r="M12" s="385" t="str">
        <f>IF($E12="","",IF(OR($E12="2추", $E12="1추", $E12="본예산"), "금액입력", "-"))</f>
        <v/>
      </c>
      <c r="N12" s="385" t="str">
        <f>IF($E12="", "", IF($E12="2추","금액입력", "-"))</f>
        <v/>
      </c>
      <c r="O12" s="387" t="str">
        <f t="shared" ref="O12:O15" si="11">IF($E12="","",SUM(M12:N12))</f>
        <v/>
      </c>
      <c r="P12" s="386"/>
      <c r="Q12" s="387">
        <f t="shared" ref="Q12:Q15" si="12">SUM(O12:P12)</f>
        <v>0</v>
      </c>
      <c r="R12" s="388"/>
      <c r="S12" s="389">
        <f t="shared" ref="S12:S15" si="13">SUM(O12,R12)</f>
        <v>0</v>
      </c>
      <c r="T12" s="118" t="str">
        <f t="shared" ref="T12:T15" si="14">IF(AND((Q12=0),(S12&gt;0)),"O",IF(AND((P12&lt;0),(Q12-S12&lt;0)),"O","X"))</f>
        <v>X</v>
      </c>
      <c r="U12" s="180"/>
      <c r="V12" s="172"/>
      <c r="W12" s="165"/>
      <c r="X12" s="181"/>
      <c r="Y12" s="463"/>
      <c r="Z12" s="325"/>
      <c r="AA12" s="119"/>
      <c r="AB12" s="27"/>
    </row>
    <row r="13" spans="1:28" ht="80.099999999999994" customHeight="1">
      <c r="A13" s="115" t="str">
        <f>IF(D13="","",COUNTA($C$6:C13)-COUNTBLANK($C$6:C13)+2)</f>
        <v/>
      </c>
      <c r="B13" s="116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16" t="str">
        <f>IF(D13="","",IF(OR(D13="교육지원과",D13="총무과",D13="인사과"),"직접입력",VLOOKUP(D13,구분표!$A$3:$C$258,3,)))</f>
        <v/>
      </c>
      <c r="D13" s="173"/>
      <c r="E13" s="161"/>
      <c r="F13" s="323" t="str">
        <f t="shared" ref="F13:G15" si="15">IF($E13="","",IF($E13="2추","직접입력","-"))</f>
        <v/>
      </c>
      <c r="G13" s="323" t="str">
        <f t="shared" si="15"/>
        <v/>
      </c>
      <c r="H13" s="161"/>
      <c r="I13" s="161"/>
      <c r="J13" s="161"/>
      <c r="K13" s="166"/>
      <c r="L13" s="166"/>
      <c r="M13" s="385" t="str">
        <f t="shared" ref="M13:M15" si="16">IF($E13="","",IF(OR($E13="2추", $E13="1추", $E13="본예산"), "금액입력", "-"))</f>
        <v/>
      </c>
      <c r="N13" s="385" t="str">
        <f t="shared" ref="N13:N15" si="17">IF($E13="", "", IF($E13="2추","금액입력", "-"))</f>
        <v/>
      </c>
      <c r="O13" s="387" t="str">
        <f t="shared" si="11"/>
        <v/>
      </c>
      <c r="P13" s="386"/>
      <c r="Q13" s="387">
        <f t="shared" si="12"/>
        <v>0</v>
      </c>
      <c r="R13" s="388"/>
      <c r="S13" s="389">
        <f t="shared" si="13"/>
        <v>0</v>
      </c>
      <c r="T13" s="118" t="str">
        <f t="shared" si="14"/>
        <v>X</v>
      </c>
      <c r="U13" s="180"/>
      <c r="V13" s="172"/>
      <c r="W13" s="165"/>
      <c r="X13" s="181"/>
      <c r="Y13" s="463"/>
      <c r="Z13" s="325"/>
      <c r="AA13" s="119"/>
      <c r="AB13" s="27"/>
    </row>
    <row r="14" spans="1:28" ht="80.099999999999994" customHeight="1">
      <c r="A14" s="115" t="str">
        <f>IF(D14="","",COUNTA($C$6:C14)-COUNTBLANK($C$6:C14)+2)</f>
        <v/>
      </c>
      <c r="B14" s="116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16" t="str">
        <f>IF(D14="","",IF(OR(D14="교육지원과",D14="총무과",D14="인사과"),"직접입력",VLOOKUP(D14,구분표!$A$3:$C$258,3,)))</f>
        <v/>
      </c>
      <c r="D14" s="173"/>
      <c r="E14" s="161"/>
      <c r="F14" s="323" t="str">
        <f t="shared" si="15"/>
        <v/>
      </c>
      <c r="G14" s="323" t="str">
        <f t="shared" si="15"/>
        <v/>
      </c>
      <c r="H14" s="161"/>
      <c r="I14" s="161"/>
      <c r="J14" s="161"/>
      <c r="K14" s="166"/>
      <c r="L14" s="166"/>
      <c r="M14" s="385" t="str">
        <f t="shared" si="16"/>
        <v/>
      </c>
      <c r="N14" s="385" t="str">
        <f t="shared" si="17"/>
        <v/>
      </c>
      <c r="O14" s="387" t="str">
        <f t="shared" si="11"/>
        <v/>
      </c>
      <c r="P14" s="386"/>
      <c r="Q14" s="387">
        <f t="shared" si="12"/>
        <v>0</v>
      </c>
      <c r="R14" s="388"/>
      <c r="S14" s="389">
        <f t="shared" si="13"/>
        <v>0</v>
      </c>
      <c r="T14" s="118" t="str">
        <f t="shared" si="14"/>
        <v>X</v>
      </c>
      <c r="U14" s="180"/>
      <c r="V14" s="172"/>
      <c r="W14" s="165"/>
      <c r="X14" s="181"/>
      <c r="Y14" s="463"/>
      <c r="Z14" s="325"/>
      <c r="AA14" s="119"/>
      <c r="AB14" s="27"/>
    </row>
    <row r="15" spans="1:28" ht="80.099999999999994" customHeight="1">
      <c r="A15" s="115" t="str">
        <f>IF(D15="","",COUNTA($C$6:C15)-COUNTBLANK($C$6:C15)+2)</f>
        <v/>
      </c>
      <c r="B15" s="116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16" t="str">
        <f>IF(D15="","",IF(OR(D15="교육지원과",D15="총무과",D15="인사과"),"직접입력",VLOOKUP(D15,구분표!$A$3:$C$258,3,)))</f>
        <v/>
      </c>
      <c r="D15" s="173"/>
      <c r="E15" s="161"/>
      <c r="F15" s="323" t="str">
        <f t="shared" si="15"/>
        <v/>
      </c>
      <c r="G15" s="323" t="str">
        <f t="shared" si="15"/>
        <v/>
      </c>
      <c r="H15" s="161"/>
      <c r="I15" s="161"/>
      <c r="J15" s="161"/>
      <c r="K15" s="166"/>
      <c r="L15" s="166"/>
      <c r="M15" s="385" t="str">
        <f t="shared" si="16"/>
        <v/>
      </c>
      <c r="N15" s="385" t="str">
        <f t="shared" si="17"/>
        <v/>
      </c>
      <c r="O15" s="387" t="str">
        <f t="shared" si="11"/>
        <v/>
      </c>
      <c r="P15" s="386"/>
      <c r="Q15" s="387">
        <f t="shared" si="12"/>
        <v>0</v>
      </c>
      <c r="R15" s="388"/>
      <c r="S15" s="389">
        <f t="shared" si="13"/>
        <v>0</v>
      </c>
      <c r="T15" s="118" t="str">
        <f t="shared" si="14"/>
        <v>X</v>
      </c>
      <c r="U15" s="180"/>
      <c r="V15" s="172"/>
      <c r="W15" s="165"/>
      <c r="X15" s="181"/>
      <c r="Y15" s="463"/>
      <c r="Z15" s="325"/>
      <c r="AA15" s="119"/>
      <c r="AB15" s="27"/>
    </row>
    <row r="16" spans="1:28" ht="50.1" customHeight="1">
      <c r="A16" s="35"/>
      <c r="B16" s="56"/>
      <c r="C16" s="56"/>
      <c r="D16" s="56"/>
      <c r="E16" s="56"/>
      <c r="F16" s="36"/>
      <c r="G16" s="36"/>
      <c r="H16" s="37"/>
      <c r="I16" s="37"/>
      <c r="J16" s="37"/>
      <c r="K16" s="37"/>
      <c r="L16" s="37"/>
      <c r="M16" s="37"/>
      <c r="N16" s="37"/>
      <c r="O16" s="424"/>
      <c r="P16" s="424"/>
      <c r="Q16" s="424"/>
      <c r="R16" s="425"/>
      <c r="S16" s="426"/>
      <c r="T16" s="36"/>
      <c r="U16" s="57"/>
      <c r="V16" s="40"/>
      <c r="W16" s="41"/>
      <c r="X16" s="39"/>
      <c r="Y16" s="39"/>
      <c r="Z16" s="36"/>
      <c r="AA16" s="43"/>
    </row>
    <row r="17" spans="1:27" ht="50.1" customHeight="1">
      <c r="A17" s="35"/>
      <c r="B17" s="56"/>
      <c r="C17" s="56"/>
      <c r="D17" s="56"/>
      <c r="E17" s="56"/>
      <c r="F17" s="36"/>
      <c r="G17" s="36"/>
      <c r="H17" s="37"/>
      <c r="I17" s="37"/>
      <c r="J17" s="37"/>
      <c r="K17" s="37"/>
      <c r="L17" s="37"/>
      <c r="M17" s="37"/>
      <c r="N17" s="37"/>
      <c r="O17" s="424"/>
      <c r="P17" s="424"/>
      <c r="Q17" s="424"/>
      <c r="R17" s="425"/>
      <c r="S17" s="426"/>
      <c r="T17" s="36"/>
      <c r="U17" s="57"/>
      <c r="V17" s="40"/>
      <c r="W17" s="41"/>
      <c r="X17" s="39"/>
      <c r="Y17" s="39"/>
      <c r="Z17" s="36"/>
      <c r="AA17" s="43"/>
    </row>
    <row r="18" spans="1:27" ht="50.1" customHeight="1">
      <c r="A18" s="35"/>
      <c r="B18" s="56"/>
      <c r="C18" s="56"/>
      <c r="D18" s="56"/>
      <c r="E18" s="56"/>
      <c r="F18" s="36"/>
      <c r="G18" s="36"/>
      <c r="H18" s="37"/>
      <c r="I18" s="37"/>
      <c r="J18" s="37"/>
      <c r="K18" s="37"/>
      <c r="L18" s="37"/>
      <c r="M18" s="37"/>
      <c r="N18" s="37"/>
      <c r="O18" s="424"/>
      <c r="P18" s="424"/>
      <c r="Q18" s="424"/>
      <c r="R18" s="425"/>
      <c r="S18" s="426"/>
      <c r="T18" s="36"/>
      <c r="U18" s="57"/>
      <c r="V18" s="40"/>
      <c r="W18" s="41"/>
      <c r="X18" s="39"/>
      <c r="Y18" s="39"/>
      <c r="Z18" s="36"/>
      <c r="AA18" s="43"/>
    </row>
    <row r="19" spans="1:27" ht="50.1" customHeight="1">
      <c r="A19" s="35"/>
      <c r="B19" s="56"/>
      <c r="C19" s="56"/>
      <c r="D19" s="56"/>
      <c r="E19" s="56"/>
      <c r="F19" s="36"/>
      <c r="G19" s="36"/>
      <c r="H19" s="37"/>
      <c r="I19" s="37"/>
      <c r="J19" s="37"/>
      <c r="K19" s="37"/>
      <c r="L19" s="37"/>
      <c r="M19" s="37"/>
      <c r="N19" s="37"/>
      <c r="O19" s="424"/>
      <c r="P19" s="424"/>
      <c r="Q19" s="424"/>
      <c r="R19" s="425"/>
      <c r="S19" s="426"/>
      <c r="T19" s="36"/>
      <c r="U19" s="57"/>
      <c r="V19" s="40"/>
      <c r="W19" s="41"/>
      <c r="X19" s="39"/>
      <c r="Y19" s="39"/>
      <c r="Z19" s="36"/>
      <c r="AA19" s="43"/>
    </row>
    <row r="20" spans="1:27" ht="50.1" customHeight="1">
      <c r="A20" s="35"/>
      <c r="B20" s="56"/>
      <c r="C20" s="56"/>
      <c r="D20" s="56"/>
      <c r="E20" s="56"/>
      <c r="F20" s="36"/>
      <c r="G20" s="36"/>
      <c r="H20" s="37"/>
      <c r="I20" s="37"/>
      <c r="J20" s="37"/>
      <c r="K20" s="37"/>
      <c r="L20" s="37"/>
      <c r="M20" s="37"/>
      <c r="N20" s="37"/>
      <c r="O20" s="424"/>
      <c r="P20" s="424"/>
      <c r="Q20" s="424"/>
      <c r="R20" s="425"/>
      <c r="S20" s="426"/>
      <c r="T20" s="36"/>
      <c r="U20" s="57"/>
      <c r="V20" s="40"/>
      <c r="W20" s="41"/>
      <c r="X20" s="39"/>
      <c r="Y20" s="39"/>
      <c r="Z20" s="36"/>
      <c r="AA20" s="43"/>
    </row>
    <row r="21" spans="1:27" ht="50.1" customHeight="1">
      <c r="A21" s="35"/>
      <c r="B21" s="56"/>
      <c r="C21" s="56"/>
      <c r="D21" s="56"/>
      <c r="E21" s="56"/>
      <c r="F21" s="36"/>
      <c r="G21" s="36"/>
      <c r="H21" s="37"/>
      <c r="I21" s="37"/>
      <c r="J21" s="37"/>
      <c r="K21" s="37"/>
      <c r="L21" s="37"/>
      <c r="M21" s="37"/>
      <c r="N21" s="37"/>
      <c r="O21" s="424"/>
      <c r="P21" s="424"/>
      <c r="Q21" s="424"/>
      <c r="R21" s="425"/>
      <c r="S21" s="426"/>
      <c r="T21" s="36"/>
      <c r="U21" s="57"/>
      <c r="V21" s="40"/>
      <c r="W21" s="41"/>
      <c r="X21" s="39"/>
      <c r="Y21" s="39"/>
      <c r="Z21" s="36"/>
      <c r="AA21" s="43"/>
    </row>
    <row r="22" spans="1:27" ht="50.1" customHeight="1">
      <c r="A22" s="35"/>
      <c r="B22" s="56"/>
      <c r="C22" s="56"/>
      <c r="D22" s="56"/>
      <c r="E22" s="56"/>
      <c r="F22" s="36"/>
      <c r="G22" s="36"/>
      <c r="H22" s="37"/>
      <c r="I22" s="37"/>
      <c r="J22" s="37"/>
      <c r="K22" s="37"/>
      <c r="L22" s="37"/>
      <c r="M22" s="37"/>
      <c r="N22" s="37"/>
      <c r="O22" s="424"/>
      <c r="P22" s="424"/>
      <c r="Q22" s="424"/>
      <c r="R22" s="425"/>
      <c r="S22" s="426"/>
      <c r="T22" s="36"/>
      <c r="U22" s="57"/>
      <c r="V22" s="40"/>
      <c r="W22" s="41"/>
      <c r="X22" s="39"/>
      <c r="Y22" s="39"/>
      <c r="Z22" s="36"/>
      <c r="AA22" s="43"/>
    </row>
    <row r="23" spans="1:27" ht="50.1" customHeight="1">
      <c r="A23" s="35"/>
      <c r="B23" s="56"/>
      <c r="C23" s="56"/>
      <c r="D23" s="56"/>
      <c r="E23" s="56"/>
      <c r="F23" s="36"/>
      <c r="G23" s="36"/>
      <c r="H23" s="37"/>
      <c r="I23" s="37"/>
      <c r="J23" s="37"/>
      <c r="K23" s="37"/>
      <c r="L23" s="37"/>
      <c r="M23" s="37"/>
      <c r="N23" s="37"/>
      <c r="O23" s="424"/>
      <c r="P23" s="424"/>
      <c r="Q23" s="424"/>
      <c r="R23" s="424"/>
      <c r="S23" s="426"/>
      <c r="T23" s="36"/>
      <c r="U23" s="57"/>
      <c r="V23" s="40"/>
      <c r="W23" s="41"/>
      <c r="X23" s="39"/>
      <c r="Y23" s="39"/>
      <c r="Z23" s="36"/>
      <c r="AA23" s="43"/>
    </row>
    <row r="24" spans="1:27" ht="50.1" customHeight="1">
      <c r="A24" s="35"/>
      <c r="B24" s="56"/>
      <c r="C24" s="56"/>
      <c r="D24" s="56"/>
      <c r="E24" s="56"/>
      <c r="F24" s="36"/>
      <c r="G24" s="36"/>
      <c r="H24" s="37"/>
      <c r="I24" s="37"/>
      <c r="J24" s="37"/>
      <c r="K24" s="37"/>
      <c r="L24" s="37"/>
      <c r="M24" s="37"/>
      <c r="N24" s="37"/>
      <c r="O24" s="424"/>
      <c r="P24" s="424"/>
      <c r="Q24" s="424"/>
      <c r="R24" s="424"/>
      <c r="S24" s="426"/>
      <c r="T24" s="36"/>
      <c r="U24" s="57"/>
      <c r="V24" s="40"/>
      <c r="W24" s="41"/>
      <c r="X24" s="39"/>
      <c r="Y24" s="39"/>
      <c r="Z24" s="36"/>
      <c r="AA24" s="43"/>
    </row>
    <row r="25" spans="1:27" ht="50.1" customHeight="1">
      <c r="A25" s="35"/>
      <c r="B25" s="56"/>
      <c r="C25" s="56"/>
      <c r="D25" s="56"/>
      <c r="E25" s="56"/>
      <c r="F25" s="36"/>
      <c r="G25" s="36"/>
      <c r="H25" s="37"/>
      <c r="I25" s="37"/>
      <c r="J25" s="37"/>
      <c r="K25" s="37"/>
      <c r="L25" s="37"/>
      <c r="M25" s="37"/>
      <c r="N25" s="37"/>
      <c r="O25" s="424"/>
      <c r="P25" s="424"/>
      <c r="Q25" s="424"/>
      <c r="R25" s="424"/>
      <c r="S25" s="426"/>
      <c r="T25" s="36"/>
      <c r="U25" s="57"/>
      <c r="V25" s="40"/>
      <c r="W25" s="41"/>
      <c r="X25" s="39"/>
      <c r="Y25" s="39"/>
      <c r="Z25" s="36"/>
      <c r="AA25" s="43"/>
    </row>
    <row r="26" spans="1:27" ht="50.1" customHeight="1">
      <c r="A26" s="35"/>
      <c r="B26" s="56"/>
      <c r="C26" s="56"/>
      <c r="D26" s="56"/>
      <c r="E26" s="56"/>
      <c r="F26" s="36"/>
      <c r="G26" s="36"/>
      <c r="H26" s="37"/>
      <c r="I26" s="37"/>
      <c r="J26" s="37"/>
      <c r="K26" s="37"/>
      <c r="L26" s="37"/>
      <c r="M26" s="37"/>
      <c r="N26" s="37"/>
      <c r="O26" s="424"/>
      <c r="P26" s="424"/>
      <c r="Q26" s="424"/>
      <c r="R26" s="424"/>
      <c r="S26" s="426"/>
      <c r="T26" s="36"/>
      <c r="U26" s="57"/>
      <c r="V26" s="40"/>
      <c r="W26" s="41"/>
      <c r="X26" s="39"/>
      <c r="Y26" s="39"/>
      <c r="Z26" s="36"/>
      <c r="AA26" s="43"/>
    </row>
    <row r="27" spans="1:27" ht="50.1" customHeight="1">
      <c r="A27" s="35"/>
      <c r="B27" s="56"/>
      <c r="C27" s="56"/>
      <c r="D27" s="56"/>
      <c r="E27" s="56"/>
      <c r="F27" s="36"/>
      <c r="G27" s="36"/>
      <c r="H27" s="37"/>
      <c r="I27" s="37"/>
      <c r="J27" s="37"/>
      <c r="K27" s="37"/>
      <c r="L27" s="37"/>
      <c r="M27" s="37"/>
      <c r="N27" s="37"/>
      <c r="O27" s="424"/>
      <c r="P27" s="424"/>
      <c r="Q27" s="424"/>
      <c r="R27" s="424"/>
      <c r="S27" s="426"/>
      <c r="T27" s="36"/>
      <c r="U27" s="57"/>
      <c r="V27" s="40"/>
      <c r="W27" s="41"/>
      <c r="X27" s="39"/>
      <c r="Y27" s="39"/>
      <c r="Z27" s="36"/>
      <c r="AA27" s="43"/>
    </row>
    <row r="28" spans="1:27" ht="50.1" customHeight="1">
      <c r="A28" s="35"/>
      <c r="B28" s="56"/>
      <c r="C28" s="56"/>
      <c r="D28" s="56"/>
      <c r="E28" s="56"/>
      <c r="F28" s="36"/>
      <c r="G28" s="36"/>
      <c r="H28" s="37"/>
      <c r="I28" s="37"/>
      <c r="J28" s="37"/>
      <c r="K28" s="37"/>
      <c r="L28" s="37"/>
      <c r="M28" s="37"/>
      <c r="N28" s="37"/>
      <c r="O28" s="424"/>
      <c r="P28" s="424"/>
      <c r="Q28" s="424"/>
      <c r="R28" s="424"/>
      <c r="S28" s="426"/>
      <c r="T28" s="36"/>
      <c r="U28" s="39"/>
      <c r="V28" s="40"/>
      <c r="W28" s="41"/>
      <c r="X28" s="39"/>
      <c r="Y28" s="39"/>
      <c r="Z28" s="36"/>
      <c r="AA28" s="43"/>
    </row>
    <row r="29" spans="1:27" ht="50.1" customHeight="1">
      <c r="A29" s="35"/>
      <c r="B29" s="56"/>
      <c r="C29" s="56"/>
      <c r="D29" s="56"/>
      <c r="E29" s="56"/>
      <c r="F29" s="36"/>
      <c r="G29" s="36"/>
      <c r="H29" s="37"/>
      <c r="I29" s="37"/>
      <c r="J29" s="37"/>
      <c r="K29" s="37"/>
      <c r="L29" s="37"/>
      <c r="M29" s="37"/>
      <c r="N29" s="37"/>
      <c r="O29" s="424"/>
      <c r="P29" s="424"/>
      <c r="Q29" s="424"/>
      <c r="R29" s="424"/>
      <c r="S29" s="426"/>
      <c r="T29" s="36"/>
      <c r="U29" s="39"/>
      <c r="V29" s="40"/>
      <c r="W29" s="41"/>
      <c r="X29" s="39"/>
      <c r="Y29" s="39"/>
      <c r="Z29" s="36"/>
      <c r="AA29" s="43"/>
    </row>
    <row r="30" spans="1:27" ht="50.1" customHeight="1">
      <c r="A30" s="35"/>
      <c r="B30" s="56"/>
      <c r="C30" s="56"/>
      <c r="D30" s="56"/>
      <c r="E30" s="56"/>
      <c r="F30" s="36"/>
      <c r="G30" s="36"/>
      <c r="H30" s="37"/>
      <c r="I30" s="37"/>
      <c r="J30" s="37"/>
      <c r="K30" s="37"/>
      <c r="L30" s="37"/>
      <c r="M30" s="37"/>
      <c r="N30" s="37"/>
      <c r="O30" s="424"/>
      <c r="P30" s="424"/>
      <c r="Q30" s="424"/>
      <c r="R30" s="424"/>
      <c r="S30" s="426"/>
      <c r="T30" s="36"/>
      <c r="U30" s="39"/>
      <c r="V30" s="40"/>
      <c r="W30" s="41"/>
      <c r="X30" s="39"/>
      <c r="Y30" s="39"/>
      <c r="Z30" s="36"/>
      <c r="AA30" s="43"/>
    </row>
    <row r="31" spans="1:27" ht="50.1" customHeight="1">
      <c r="A31" s="35"/>
      <c r="B31" s="56"/>
      <c r="C31" s="56"/>
      <c r="D31" s="56"/>
      <c r="E31" s="56"/>
      <c r="F31" s="36"/>
      <c r="G31" s="36"/>
      <c r="H31" s="37"/>
      <c r="I31" s="37"/>
      <c r="J31" s="37"/>
      <c r="K31" s="37"/>
      <c r="L31" s="37"/>
      <c r="M31" s="37"/>
      <c r="N31" s="37"/>
      <c r="O31" s="424"/>
      <c r="P31" s="424"/>
      <c r="Q31" s="424"/>
      <c r="R31" s="424"/>
      <c r="S31" s="426"/>
      <c r="T31" s="36"/>
      <c r="U31" s="39"/>
      <c r="V31" s="40"/>
      <c r="W31" s="41"/>
      <c r="X31" s="39"/>
      <c r="Y31" s="39"/>
      <c r="Z31" s="36"/>
      <c r="AA31" s="43"/>
    </row>
    <row r="32" spans="1:27" ht="50.1" customHeight="1">
      <c r="A32" s="51"/>
      <c r="B32" s="48"/>
      <c r="C32" s="48"/>
      <c r="D32" s="48"/>
      <c r="E32" s="48"/>
      <c r="F32" s="43"/>
      <c r="G32" s="43"/>
      <c r="H32" s="52"/>
      <c r="I32" s="52"/>
      <c r="J32" s="52"/>
      <c r="K32" s="52"/>
      <c r="L32" s="52"/>
      <c r="M32" s="52"/>
      <c r="N32" s="52"/>
      <c r="O32" s="415"/>
      <c r="P32" s="415"/>
      <c r="Q32" s="415"/>
      <c r="R32" s="415"/>
      <c r="S32" s="427"/>
      <c r="T32" s="43"/>
      <c r="U32" s="53"/>
      <c r="V32" s="54"/>
      <c r="W32" s="55"/>
      <c r="X32" s="53"/>
      <c r="Y32" s="53"/>
      <c r="Z32" s="43"/>
      <c r="AA32" s="43"/>
    </row>
    <row r="33" spans="1:27" ht="50.1" customHeight="1">
      <c r="A33" s="51"/>
      <c r="B33" s="48"/>
      <c r="C33" s="48"/>
      <c r="D33" s="48"/>
      <c r="E33" s="48"/>
      <c r="F33" s="43"/>
      <c r="G33" s="43"/>
      <c r="H33" s="52"/>
      <c r="I33" s="52"/>
      <c r="J33" s="52"/>
      <c r="K33" s="52"/>
      <c r="L33" s="52"/>
      <c r="M33" s="52"/>
      <c r="N33" s="52"/>
      <c r="O33" s="415"/>
      <c r="P33" s="415"/>
      <c r="Q33" s="415"/>
      <c r="R33" s="415"/>
      <c r="S33" s="427"/>
      <c r="T33" s="43"/>
      <c r="U33" s="53"/>
      <c r="V33" s="54"/>
      <c r="W33" s="55"/>
      <c r="X33" s="53"/>
      <c r="Y33" s="53"/>
      <c r="Z33" s="43"/>
      <c r="AA33" s="43"/>
    </row>
    <row r="34" spans="1:27" ht="50.1" customHeight="1">
      <c r="A34" s="51"/>
      <c r="B34" s="48"/>
      <c r="C34" s="48"/>
      <c r="D34" s="48"/>
      <c r="E34" s="48"/>
      <c r="F34" s="43"/>
      <c r="G34" s="43"/>
      <c r="H34" s="52"/>
      <c r="I34" s="52"/>
      <c r="J34" s="52"/>
      <c r="K34" s="52"/>
      <c r="L34" s="52"/>
      <c r="M34" s="52"/>
      <c r="N34" s="52"/>
      <c r="O34" s="415"/>
      <c r="P34" s="415"/>
      <c r="Q34" s="415"/>
      <c r="R34" s="415"/>
      <c r="S34" s="427"/>
      <c r="T34" s="43"/>
      <c r="U34" s="53"/>
      <c r="V34" s="54"/>
      <c r="W34" s="55"/>
      <c r="X34" s="53"/>
      <c r="Y34" s="53"/>
      <c r="Z34" s="43"/>
      <c r="AA34" s="43"/>
    </row>
    <row r="35" spans="1:27" ht="50.1" customHeight="1">
      <c r="A35" s="51"/>
      <c r="B35" s="48"/>
      <c r="C35" s="48"/>
      <c r="D35" s="48"/>
      <c r="E35" s="48"/>
      <c r="F35" s="43"/>
      <c r="G35" s="43"/>
      <c r="H35" s="52"/>
      <c r="I35" s="52"/>
      <c r="J35" s="52"/>
      <c r="K35" s="52"/>
      <c r="L35" s="52"/>
      <c r="M35" s="52"/>
      <c r="N35" s="52"/>
      <c r="O35" s="415"/>
      <c r="P35" s="415"/>
      <c r="Q35" s="415"/>
      <c r="R35" s="415"/>
      <c r="S35" s="427"/>
      <c r="T35" s="43"/>
      <c r="U35" s="53"/>
      <c r="V35" s="54"/>
      <c r="W35" s="55"/>
      <c r="X35" s="53"/>
      <c r="Y35" s="53"/>
      <c r="Z35" s="43"/>
      <c r="AA35" s="43"/>
    </row>
    <row r="36" spans="1:27" ht="50.1" customHeight="1">
      <c r="A36" s="51"/>
      <c r="B36" s="48"/>
      <c r="C36" s="48"/>
      <c r="D36" s="48"/>
      <c r="E36" s="48"/>
      <c r="F36" s="43"/>
      <c r="G36" s="43"/>
      <c r="H36" s="52"/>
      <c r="I36" s="52"/>
      <c r="J36" s="52"/>
      <c r="K36" s="52"/>
      <c r="L36" s="52"/>
      <c r="M36" s="52"/>
      <c r="N36" s="52"/>
      <c r="O36" s="415"/>
      <c r="P36" s="415"/>
      <c r="Q36" s="415"/>
      <c r="R36" s="415"/>
      <c r="S36" s="427"/>
      <c r="T36" s="43"/>
      <c r="U36" s="53"/>
      <c r="V36" s="54"/>
      <c r="W36" s="55"/>
      <c r="X36" s="53"/>
      <c r="Y36" s="53"/>
      <c r="Z36" s="43"/>
      <c r="AA36" s="43"/>
    </row>
    <row r="37" spans="1:27" ht="50.1" customHeight="1">
      <c r="A37" s="51"/>
      <c r="B37" s="48"/>
      <c r="C37" s="48"/>
      <c r="D37" s="48"/>
      <c r="E37" s="48"/>
      <c r="F37" s="43"/>
      <c r="G37" s="43"/>
      <c r="H37" s="52"/>
      <c r="I37" s="52"/>
      <c r="J37" s="52"/>
      <c r="K37" s="52"/>
      <c r="L37" s="52"/>
      <c r="M37" s="52"/>
      <c r="N37" s="52"/>
      <c r="O37" s="415"/>
      <c r="P37" s="415"/>
      <c r="Q37" s="415"/>
      <c r="R37" s="415"/>
      <c r="S37" s="427"/>
      <c r="T37" s="43"/>
      <c r="U37" s="53"/>
      <c r="V37" s="54"/>
      <c r="W37" s="55"/>
      <c r="X37" s="53"/>
      <c r="Y37" s="53"/>
      <c r="Z37" s="43"/>
      <c r="AA37" s="43"/>
    </row>
    <row r="38" spans="1:27" ht="50.1" customHeight="1">
      <c r="A38" s="51"/>
      <c r="B38" s="48"/>
      <c r="C38" s="48"/>
      <c r="D38" s="48"/>
      <c r="E38" s="48"/>
      <c r="F38" s="43"/>
      <c r="G38" s="43"/>
      <c r="H38" s="52"/>
      <c r="I38" s="52"/>
      <c r="J38" s="52"/>
      <c r="K38" s="52"/>
      <c r="L38" s="52"/>
      <c r="M38" s="52"/>
      <c r="N38" s="52"/>
      <c r="O38" s="415"/>
      <c r="P38" s="415"/>
      <c r="Q38" s="415"/>
      <c r="R38" s="415"/>
      <c r="S38" s="427"/>
      <c r="T38" s="43"/>
      <c r="U38" s="53"/>
      <c r="V38" s="54"/>
      <c r="W38" s="55"/>
      <c r="X38" s="53"/>
      <c r="Y38" s="53"/>
      <c r="Z38" s="43"/>
      <c r="AA38" s="43"/>
    </row>
    <row r="39" spans="1:27" ht="50.1" customHeight="1">
      <c r="A39" s="51"/>
      <c r="B39" s="48"/>
      <c r="C39" s="48"/>
      <c r="D39" s="48"/>
      <c r="E39" s="48"/>
      <c r="F39" s="43"/>
      <c r="G39" s="43"/>
      <c r="H39" s="52"/>
      <c r="I39" s="52"/>
      <c r="J39" s="52"/>
      <c r="K39" s="52"/>
      <c r="L39" s="52"/>
      <c r="M39" s="52"/>
      <c r="N39" s="52"/>
      <c r="O39" s="415"/>
      <c r="P39" s="415"/>
      <c r="Q39" s="415"/>
      <c r="R39" s="415"/>
      <c r="S39" s="427"/>
      <c r="T39" s="43"/>
      <c r="U39" s="53"/>
      <c r="V39" s="54"/>
      <c r="W39" s="55"/>
      <c r="X39" s="53"/>
      <c r="Y39" s="53"/>
      <c r="Z39" s="43"/>
      <c r="AA39" s="43"/>
    </row>
    <row r="40" spans="1:27" ht="50.1" customHeight="1">
      <c r="A40" s="51"/>
      <c r="B40" s="48"/>
      <c r="C40" s="48"/>
      <c r="D40" s="48"/>
      <c r="E40" s="48"/>
      <c r="F40" s="43"/>
      <c r="G40" s="43"/>
      <c r="H40" s="52"/>
      <c r="I40" s="52"/>
      <c r="J40" s="52"/>
      <c r="K40" s="52"/>
      <c r="L40" s="52"/>
      <c r="M40" s="52"/>
      <c r="N40" s="52"/>
      <c r="O40" s="415"/>
      <c r="P40" s="415"/>
      <c r="Q40" s="415"/>
      <c r="R40" s="415"/>
      <c r="S40" s="427"/>
      <c r="T40" s="43"/>
      <c r="U40" s="53"/>
      <c r="V40" s="54"/>
      <c r="W40" s="55"/>
      <c r="X40" s="53"/>
      <c r="Y40" s="53"/>
      <c r="Z40" s="43"/>
      <c r="AA40" s="43"/>
    </row>
    <row r="41" spans="1:27" ht="50.1" customHeight="1">
      <c r="A41" s="51"/>
      <c r="B41" s="48"/>
      <c r="C41" s="48"/>
      <c r="D41" s="48"/>
      <c r="E41" s="48"/>
      <c r="F41" s="43"/>
      <c r="G41" s="43"/>
      <c r="H41" s="52"/>
      <c r="I41" s="52"/>
      <c r="J41" s="52"/>
      <c r="K41" s="52"/>
      <c r="L41" s="52"/>
      <c r="M41" s="52"/>
      <c r="N41" s="52"/>
      <c r="O41" s="415"/>
      <c r="P41" s="415"/>
      <c r="Q41" s="415"/>
      <c r="R41" s="415"/>
      <c r="S41" s="427"/>
      <c r="T41" s="43"/>
      <c r="U41" s="53"/>
      <c r="V41" s="54"/>
      <c r="W41" s="55"/>
      <c r="X41" s="53"/>
      <c r="Y41" s="53"/>
      <c r="Z41" s="43"/>
      <c r="AA41" s="43"/>
    </row>
    <row r="42" spans="1:27" ht="50.1" customHeight="1">
      <c r="A42" s="51"/>
      <c r="B42" s="48"/>
      <c r="C42" s="48"/>
      <c r="D42" s="48"/>
      <c r="E42" s="48"/>
      <c r="F42" s="43"/>
      <c r="G42" s="43"/>
      <c r="H42" s="52"/>
      <c r="I42" s="52"/>
      <c r="J42" s="52"/>
      <c r="K42" s="52"/>
      <c r="L42" s="52"/>
      <c r="M42" s="52"/>
      <c r="N42" s="52"/>
      <c r="O42" s="415"/>
      <c r="P42" s="415"/>
      <c r="Q42" s="415"/>
      <c r="R42" s="415"/>
      <c r="S42" s="427"/>
      <c r="T42" s="43"/>
      <c r="U42" s="53"/>
      <c r="V42" s="54"/>
      <c r="W42" s="55"/>
      <c r="X42" s="53"/>
      <c r="Y42" s="53"/>
      <c r="Z42" s="43"/>
      <c r="AA42" s="43"/>
    </row>
    <row r="43" spans="1:27" ht="50.1" customHeight="1">
      <c r="A43" s="51"/>
      <c r="B43" s="48"/>
      <c r="C43" s="48"/>
      <c r="D43" s="48"/>
      <c r="E43" s="48"/>
      <c r="F43" s="43"/>
      <c r="G43" s="43"/>
      <c r="H43" s="52"/>
      <c r="I43" s="52"/>
      <c r="J43" s="52"/>
      <c r="K43" s="52"/>
      <c r="L43" s="52"/>
      <c r="M43" s="52"/>
      <c r="N43" s="52"/>
      <c r="O43" s="415"/>
      <c r="P43" s="415"/>
      <c r="Q43" s="415"/>
      <c r="R43" s="415"/>
      <c r="S43" s="427"/>
      <c r="T43" s="43"/>
      <c r="U43" s="53"/>
      <c r="V43" s="54"/>
      <c r="W43" s="55"/>
      <c r="X43" s="53"/>
      <c r="Y43" s="53"/>
      <c r="Z43" s="43"/>
      <c r="AA43" s="43"/>
    </row>
    <row r="44" spans="1:27" ht="50.1" customHeight="1">
      <c r="A44" s="51"/>
      <c r="B44" s="48"/>
      <c r="C44" s="48"/>
      <c r="D44" s="48"/>
      <c r="E44" s="48"/>
      <c r="F44" s="43"/>
      <c r="G44" s="43"/>
      <c r="H44" s="52"/>
      <c r="I44" s="52"/>
      <c r="J44" s="52"/>
      <c r="K44" s="52"/>
      <c r="L44" s="52"/>
      <c r="M44" s="52"/>
      <c r="N44" s="52"/>
      <c r="O44" s="415"/>
      <c r="P44" s="415"/>
      <c r="Q44" s="415"/>
      <c r="R44" s="415"/>
      <c r="S44" s="427"/>
      <c r="T44" s="43"/>
      <c r="U44" s="53"/>
      <c r="V44" s="54"/>
      <c r="W44" s="55"/>
      <c r="X44" s="53"/>
      <c r="Y44" s="53"/>
      <c r="Z44" s="43"/>
      <c r="AA44" s="43"/>
    </row>
    <row r="45" spans="1:27" ht="50.1" customHeight="1">
      <c r="A45" s="51"/>
      <c r="B45" s="48"/>
      <c r="C45" s="48"/>
      <c r="D45" s="48"/>
      <c r="E45" s="48"/>
      <c r="F45" s="43"/>
      <c r="G45" s="43"/>
      <c r="H45" s="52"/>
      <c r="I45" s="52"/>
      <c r="J45" s="52"/>
      <c r="K45" s="52"/>
      <c r="L45" s="52"/>
      <c r="M45" s="52"/>
      <c r="N45" s="52"/>
      <c r="O45" s="415"/>
      <c r="P45" s="415"/>
      <c r="Q45" s="415"/>
      <c r="R45" s="415"/>
      <c r="S45" s="427"/>
      <c r="T45" s="43"/>
      <c r="U45" s="53"/>
      <c r="V45" s="54"/>
      <c r="W45" s="55"/>
      <c r="X45" s="53"/>
      <c r="Y45" s="53"/>
      <c r="Z45" s="43"/>
      <c r="AA45" s="43"/>
    </row>
    <row r="46" spans="1:27" ht="50.1" customHeight="1">
      <c r="A46" s="51"/>
      <c r="B46" s="48"/>
      <c r="C46" s="48"/>
      <c r="D46" s="48"/>
      <c r="E46" s="48"/>
      <c r="F46" s="43"/>
      <c r="G46" s="43"/>
      <c r="H46" s="52"/>
      <c r="I46" s="52"/>
      <c r="J46" s="52"/>
      <c r="K46" s="52"/>
      <c r="L46" s="52"/>
      <c r="M46" s="52"/>
      <c r="N46" s="52"/>
      <c r="O46" s="415"/>
      <c r="P46" s="415"/>
      <c r="Q46" s="415"/>
      <c r="R46" s="415"/>
      <c r="S46" s="427"/>
      <c r="T46" s="43"/>
      <c r="U46" s="53"/>
      <c r="V46" s="54"/>
      <c r="W46" s="55"/>
      <c r="X46" s="53"/>
      <c r="Y46" s="53"/>
      <c r="Z46" s="43"/>
      <c r="AA46" s="43"/>
    </row>
  </sheetData>
  <sheetProtection formatCells="0" autoFilter="0"/>
  <autoFilter ref="A5:AB15" xr:uid="{D05A87E7-71B0-4E02-9E8B-A27D7E72225F}"/>
  <mergeCells count="30">
    <mergeCell ref="B6:G6"/>
    <mergeCell ref="B11:G11"/>
    <mergeCell ref="Z3:Z4"/>
    <mergeCell ref="T3:T4"/>
    <mergeCell ref="U3:U4"/>
    <mergeCell ref="V3:V4"/>
    <mergeCell ref="W3:W4"/>
    <mergeCell ref="X3:X4"/>
    <mergeCell ref="Y3:Y4"/>
    <mergeCell ref="L3:L4"/>
    <mergeCell ref="O3:O4"/>
    <mergeCell ref="P3:P4"/>
    <mergeCell ref="Q3:Q4"/>
    <mergeCell ref="R3:R4"/>
    <mergeCell ref="S3:S4"/>
    <mergeCell ref="F3:F4"/>
    <mergeCell ref="A1:Z1"/>
    <mergeCell ref="B2:L2"/>
    <mergeCell ref="A3:A4"/>
    <mergeCell ref="B3:B4"/>
    <mergeCell ref="C3:C4"/>
    <mergeCell ref="D3:D4"/>
    <mergeCell ref="E3:E4"/>
    <mergeCell ref="G3:G4"/>
    <mergeCell ref="H3:H4"/>
    <mergeCell ref="I3:I4"/>
    <mergeCell ref="J3:J4"/>
    <mergeCell ref="K3:K4"/>
    <mergeCell ref="M3:M4"/>
    <mergeCell ref="N3:N4"/>
  </mergeCells>
  <phoneticPr fontId="1" type="noConversion"/>
  <conditionalFormatting sqref="O1:O2 O5 O16:O1048576">
    <cfRule type="containsText" dxfId="32" priority="112" operator="containsText" text="금액입력">
      <formula>NOT(ISERROR(SEARCH("금액입력",O1)))</formula>
    </cfRule>
  </conditionalFormatting>
  <conditionalFormatting sqref="F1:G2 F11:G11 F5:G6 F16:G1048576">
    <cfRule type="containsText" dxfId="31" priority="111" operator="containsText" text="직접입력">
      <formula>NOT(ISERROR(SEARCH("직접입력",F1)))</formula>
    </cfRule>
  </conditionalFormatting>
  <conditionalFormatting sqref="K1:K1048576">
    <cfRule type="containsText" dxfId="30" priority="110" operator="containsText" text="세부사업명 입력">
      <formula>NOT(ISERROR(SEARCH("세부사업명 입력",K1)))</formula>
    </cfRule>
  </conditionalFormatting>
  <conditionalFormatting sqref="L1:N2 L3:L4 L16:N1048576 L6:L15">
    <cfRule type="containsText" dxfId="29" priority="109" operator="containsText" text="부기명 입력">
      <formula>NOT(ISERROR(SEARCH("부기명 입력",L1)))</formula>
    </cfRule>
  </conditionalFormatting>
  <conditionalFormatting sqref="L5">
    <cfRule type="containsText" dxfId="28" priority="107" operator="containsText" text="부기명 입력">
      <formula>NOT(ISERROR(SEARCH("부기명 입력",L5)))</formula>
    </cfRule>
  </conditionalFormatting>
  <conditionalFormatting sqref="O7:O10 O12:O15">
    <cfRule type="containsText" dxfId="27" priority="97" operator="containsText" text="금액입력">
      <formula>NOT(ISERROR(SEARCH("금액입력",O7)))</formula>
    </cfRule>
  </conditionalFormatting>
  <conditionalFormatting sqref="M6:S6">
    <cfRule type="containsText" dxfId="26" priority="93" operator="containsText" text="금액입력">
      <formula>NOT(ISERROR(SEARCH("금액입력",M6)))</formula>
    </cfRule>
  </conditionalFormatting>
  <conditionalFormatting sqref="M11:S11">
    <cfRule type="containsText" dxfId="25" priority="60" operator="containsText" text="금액입력">
      <formula>NOT(ISERROR(SEARCH("금액입력",M11)))</formula>
    </cfRule>
  </conditionalFormatting>
  <conditionalFormatting sqref="M5:N5">
    <cfRule type="containsText" dxfId="24" priority="53" operator="containsText" text="금액입력">
      <formula>NOT(ISERROR(SEARCH("금액입력",M5)))</formula>
    </cfRule>
  </conditionalFormatting>
  <conditionalFormatting sqref="O3:O4">
    <cfRule type="containsText" dxfId="23" priority="52" operator="containsText" text="금액입력">
      <formula>NOT(ISERROR(SEARCH("금액입력",O3)))</formula>
    </cfRule>
  </conditionalFormatting>
  <conditionalFormatting sqref="F3:G4">
    <cfRule type="containsText" dxfId="22" priority="50" operator="containsText" text="직접입력">
      <formula>NOT(ISERROR(SEARCH("직접입력",F3)))</formula>
    </cfRule>
  </conditionalFormatting>
  <conditionalFormatting sqref="M3:N4">
    <cfRule type="containsText" dxfId="21" priority="49" operator="containsText" text="금액입력">
      <formula>NOT(ISERROR(SEARCH("금액입력",M3)))</formula>
    </cfRule>
  </conditionalFormatting>
  <conditionalFormatting sqref="B7:C10 B12:C15">
    <cfRule type="containsText" dxfId="20" priority="33" operator="containsText" text="직접입력">
      <formula>NOT(ISERROR(SEARCH("직접입력",B7)))</formula>
    </cfRule>
  </conditionalFormatting>
  <conditionalFormatting sqref="F7:G10">
    <cfRule type="containsText" dxfId="19" priority="28" operator="containsText" text="직접입력">
      <formula>NOT(ISERROR(SEARCH("직접입력",F7)))</formula>
    </cfRule>
  </conditionalFormatting>
  <conditionalFormatting sqref="M7:M10">
    <cfRule type="containsText" dxfId="18" priority="22" operator="containsText" text="부기명 입력">
      <formula>NOT(ISERROR(SEARCH("부기명 입력",M7)))</formula>
    </cfRule>
  </conditionalFormatting>
  <conditionalFormatting sqref="M7:M10">
    <cfRule type="containsText" dxfId="17" priority="21" operator="containsText" text="금액입력">
      <formula>NOT(ISERROR(SEARCH("금액입력",M7)))</formula>
    </cfRule>
  </conditionalFormatting>
  <conditionalFormatting sqref="N7:N10">
    <cfRule type="containsText" dxfId="16" priority="20" operator="containsText" text="금액입력">
      <formula>NOT(ISERROR(SEARCH("금액입력",N7)))</formula>
    </cfRule>
  </conditionalFormatting>
  <conditionalFormatting sqref="M7:M10">
    <cfRule type="containsText" dxfId="15" priority="19" operator="containsText" text="부기명 입력">
      <formula>NOT(ISERROR(SEARCH("부기명 입력",M7)))</formula>
    </cfRule>
  </conditionalFormatting>
  <conditionalFormatting sqref="M7:M10">
    <cfRule type="containsText" dxfId="14" priority="18" operator="containsText" text="금액입력">
      <formula>NOT(ISERROR(SEARCH("금액입력",M7)))</formula>
    </cfRule>
  </conditionalFormatting>
  <conditionalFormatting sqref="N7:N10">
    <cfRule type="containsText" dxfId="13" priority="17" operator="containsText" text="금액입력">
      <formula>NOT(ISERROR(SEARCH("금액입력",N7)))</formula>
    </cfRule>
  </conditionalFormatting>
  <conditionalFormatting sqref="F12:G15">
    <cfRule type="containsText" dxfId="12" priority="7" operator="containsText" text="직접입력">
      <formula>NOT(ISERROR(SEARCH("직접입력",F12)))</formula>
    </cfRule>
  </conditionalFormatting>
  <conditionalFormatting sqref="M12:M15">
    <cfRule type="containsText" dxfId="11" priority="6" operator="containsText" text="부기명 입력">
      <formula>NOT(ISERROR(SEARCH("부기명 입력",M12)))</formula>
    </cfRule>
  </conditionalFormatting>
  <conditionalFormatting sqref="M12:M15">
    <cfRule type="containsText" dxfId="10" priority="5" operator="containsText" text="금액입력">
      <formula>NOT(ISERROR(SEARCH("금액입력",M12)))</formula>
    </cfRule>
  </conditionalFormatting>
  <conditionalFormatting sqref="N12:N15">
    <cfRule type="containsText" dxfId="9" priority="4" operator="containsText" text="금액입력">
      <formula>NOT(ISERROR(SEARCH("금액입력",N12)))</formula>
    </cfRule>
  </conditionalFormatting>
  <conditionalFormatting sqref="M12:M15">
    <cfRule type="containsText" dxfId="8" priority="3" operator="containsText" text="부기명 입력">
      <formula>NOT(ISERROR(SEARCH("부기명 입력",M12)))</formula>
    </cfRule>
  </conditionalFormatting>
  <conditionalFormatting sqref="M12:M15">
    <cfRule type="containsText" dxfId="7" priority="2" operator="containsText" text="금액입력">
      <formula>NOT(ISERROR(SEARCH("금액입력",M12)))</formula>
    </cfRule>
  </conditionalFormatting>
  <conditionalFormatting sqref="N12:N15">
    <cfRule type="containsText" dxfId="6" priority="1" operator="containsText" text="금액입력">
      <formula>NOT(ISERROR(SEARCH("금액입력",N12)))</formula>
    </cfRule>
  </conditionalFormatting>
  <dataValidations count="5">
    <dataValidation type="custom" allowBlank="1" showInputMessage="1" showErrorMessage="1" sqref="Z7:Z10 Z12:Z15" xr:uid="{9F5EF51D-8E75-4A57-B369-885A4C32CB42}">
      <formula1>"국도비, 도비"</formula1>
    </dataValidation>
    <dataValidation type="list" allowBlank="1" showInputMessage="1" showErrorMessage="1" sqref="Z6 Z11" xr:uid="{A9149E17-9D41-4F6C-924E-4154C9349BAF}">
      <formula1>"도비,국도비"</formula1>
    </dataValidation>
    <dataValidation type="list" allowBlank="1" showInputMessage="1" showErrorMessage="1" sqref="E5" xr:uid="{E671308E-7499-441C-87C3-C159AB99FCDC}">
      <formula1>"본예산, 신규"</formula1>
    </dataValidation>
    <dataValidation type="list" allowBlank="1" showInputMessage="1" showErrorMessage="1" sqref="Y7:Y10 W7:W10 Y12:Y15 W12:W15" xr:uid="{62A30117-D653-4F88-84A0-C1A8EB355A65}">
      <formula1>"동의, 부동의, 미실시"</formula1>
    </dataValidation>
    <dataValidation type="list" allowBlank="1" showInputMessage="1" showErrorMessage="1" sqref="E7:E10 E12:E15" xr:uid="{7AE52311-9466-4AD8-B653-165C1A208657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2" fitToHeight="0" orientation="landscape" r:id="rId1"/>
  <headerFooter>
    <oddFooter>&amp;C&amp;P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00FF"/>
  </sheetPr>
  <dimension ref="A1:O46"/>
  <sheetViews>
    <sheetView zoomScale="115" zoomScaleNormal="115" workbookViewId="0">
      <selection activeCell="E12" sqref="E12"/>
    </sheetView>
  </sheetViews>
  <sheetFormatPr defaultColWidth="9" defaultRowHeight="24.95" customHeight="1"/>
  <cols>
    <col min="1" max="1" width="17.25" style="1" customWidth="1"/>
    <col min="2" max="2" width="14.75" style="1" customWidth="1"/>
    <col min="3" max="3" width="5.875" style="1" customWidth="1"/>
    <col min="4" max="4" width="13.125" style="1" bestFit="1" customWidth="1"/>
    <col min="5" max="5" width="7.75" style="1" customWidth="1"/>
    <col min="6" max="6" width="13" style="1" customWidth="1"/>
    <col min="7" max="7" width="3.625" style="1" customWidth="1"/>
    <col min="8" max="8" width="17.125" style="1" customWidth="1"/>
    <col min="9" max="9" width="15" style="1" customWidth="1"/>
    <col min="10" max="10" width="6.375" style="1" bestFit="1" customWidth="1"/>
    <col min="11" max="11" width="14.625" style="1" customWidth="1"/>
    <col min="12" max="12" width="8" style="1" bestFit="1" customWidth="1"/>
    <col min="13" max="13" width="10.75" style="1" bestFit="1" customWidth="1"/>
    <col min="14" max="14" width="6.875" style="521" customWidth="1"/>
    <col min="15" max="15" width="10.5" style="1" bestFit="1" customWidth="1"/>
    <col min="16" max="16" width="9" style="1"/>
    <col min="17" max="18" width="20" style="1" customWidth="1"/>
    <col min="19" max="16384" width="9" style="1"/>
  </cols>
  <sheetData>
    <row r="1" spans="1:15" ht="30" customHeight="1">
      <c r="A1" s="431" t="s">
        <v>1636</v>
      </c>
      <c r="B1" s="432"/>
      <c r="C1" s="432"/>
      <c r="D1" s="432"/>
      <c r="E1" s="432"/>
      <c r="F1" s="432"/>
      <c r="G1" s="433"/>
      <c r="H1" s="434" t="s">
        <v>145</v>
      </c>
      <c r="I1" s="435">
        <v>42834815</v>
      </c>
      <c r="J1" s="436" t="s">
        <v>164</v>
      </c>
      <c r="K1" s="437">
        <f>IFERROR(INDEX('3. 일출(자체)'!R:R,MATCH("*예비비*",'3. 일출(자체)'!L:L,0)),0)</f>
        <v>0</v>
      </c>
      <c r="L1" s="436" t="s">
        <v>165</v>
      </c>
      <c r="M1" s="438">
        <f>IFERROR(I1+K1,0)</f>
        <v>42834815</v>
      </c>
      <c r="O1" s="302"/>
    </row>
    <row r="2" spans="1:15" ht="24.9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9" t="s">
        <v>162</v>
      </c>
    </row>
    <row r="3" spans="1:15" ht="35.25" customHeight="1">
      <c r="A3" s="687" t="s">
        <v>148</v>
      </c>
      <c r="B3" s="440" t="s">
        <v>161</v>
      </c>
      <c r="C3" s="441"/>
      <c r="D3" s="441"/>
      <c r="E3" s="441"/>
      <c r="F3" s="441"/>
      <c r="G3" s="433"/>
      <c r="H3" s="687" t="s">
        <v>148</v>
      </c>
      <c r="I3" s="440" t="s">
        <v>163</v>
      </c>
      <c r="J3" s="441"/>
      <c r="K3" s="441"/>
      <c r="L3" s="441"/>
      <c r="M3" s="441"/>
    </row>
    <row r="4" spans="1:15" ht="29.25" customHeight="1">
      <c r="A4" s="688"/>
      <c r="B4" s="442" t="s">
        <v>149</v>
      </c>
      <c r="C4" s="442" t="s">
        <v>150</v>
      </c>
      <c r="D4" s="442" t="s">
        <v>151</v>
      </c>
      <c r="E4" s="442" t="s">
        <v>150</v>
      </c>
      <c r="F4" s="442" t="s">
        <v>152</v>
      </c>
      <c r="G4" s="433"/>
      <c r="H4" s="688"/>
      <c r="I4" s="442" t="s">
        <v>149</v>
      </c>
      <c r="J4" s="442" t="s">
        <v>150</v>
      </c>
      <c r="K4" s="442" t="s">
        <v>151</v>
      </c>
      <c r="L4" s="442" t="s">
        <v>150</v>
      </c>
      <c r="M4" s="442" t="s">
        <v>152</v>
      </c>
    </row>
    <row r="5" spans="1:15" ht="24.95" customHeight="1">
      <c r="A5" s="443" t="s">
        <v>153</v>
      </c>
      <c r="B5" s="444">
        <f>B6+B9</f>
        <v>450250</v>
      </c>
      <c r="C5" s="445" t="str">
        <f>IF(B5='3. 일입'!$N$7, "OK","@@")</f>
        <v>OK</v>
      </c>
      <c r="D5" s="444">
        <f>D6+D9</f>
        <v>3588632</v>
      </c>
      <c r="E5" s="445" t="str">
        <f>IF(D5=SUM('3. 일출(자체)'!$P$6, '3. 일출(의존)'!$P$6), "OK","@@")</f>
        <v>OK</v>
      </c>
      <c r="F5" s="444">
        <f>F6+F9</f>
        <v>3138382</v>
      </c>
      <c r="G5" s="433"/>
      <c r="H5" s="443" t="s">
        <v>153</v>
      </c>
      <c r="I5" s="444">
        <f>I6+I9</f>
        <v>0</v>
      </c>
      <c r="J5" s="445" t="str">
        <f>IF(I5=SUM('3. 일입'!P7:P7),"OK","@@")</f>
        <v>OK</v>
      </c>
      <c r="K5" s="444">
        <f>K6+K9</f>
        <v>0</v>
      </c>
      <c r="L5" s="445" t="str">
        <f>IF(K5=(SUM('3. 일출(자체)'!$R$6)+SUM('3. 일출(의존)'!$R$6)),"OK","@@")</f>
        <v>OK</v>
      </c>
      <c r="M5" s="444">
        <f>M6+M9</f>
        <v>0</v>
      </c>
      <c r="N5" s="521" t="str">
        <f>IF(M5=0,"OK","@@")</f>
        <v>OK</v>
      </c>
    </row>
    <row r="6" spans="1:15" ht="24.95" customHeight="1">
      <c r="A6" s="446" t="s">
        <v>154</v>
      </c>
      <c r="B6" s="447">
        <f>B7+B8</f>
        <v>0</v>
      </c>
      <c r="C6" s="448" t="str">
        <f>IF(B6=SUM('3. 일입'!$AB$7,'3. 일입'!$AC$7,'3. 일입'!$AD$7),"OK","@@")</f>
        <v>OK</v>
      </c>
      <c r="D6" s="447">
        <f>D7+D8</f>
        <v>3151882</v>
      </c>
      <c r="E6" s="448" t="str">
        <f>IF(D6=SUM(SUM('3. 일출(자체)'!$AC$6, '3. 일출(자체)'!$AD$6, '3. 일출(자체)'!$AE$6), SUM('3. 일출(의존)'!$AC$6, '3. 일출(의존)'!$AD$6, '3. 일출(의존)'!$AE$6)), "OK", "@@")</f>
        <v>OK</v>
      </c>
      <c r="F6" s="447">
        <f>F7+F8</f>
        <v>3151882</v>
      </c>
      <c r="G6" s="433"/>
      <c r="H6" s="446" t="s">
        <v>154</v>
      </c>
      <c r="I6" s="447">
        <f>I7+I8</f>
        <v>0</v>
      </c>
      <c r="J6" s="448" t="str">
        <f>IF(I6=SUM('3. 일입'!$AG$7,'3. 일입'!$AH$7,'3. 일입'!$AI$7),"OK","@@")</f>
        <v>OK</v>
      </c>
      <c r="K6" s="447">
        <f>K7+K8</f>
        <v>0</v>
      </c>
      <c r="L6" s="448" t="str">
        <f>IF(K6=SUM(SUM('3. 일출(자체)'!$AH$6, '3. 일출(자체)'!$AI$6, '3. 일출(자체)'!$AJ$6), SUM('3. 일출(의존)'!$AI$6, '3. 일출(의존)'!$AJ$6, '3. 일출(의존)'!$AK$6)), "OK", "@@")</f>
        <v>OK</v>
      </c>
      <c r="M6" s="447">
        <f>M7+M8</f>
        <v>0</v>
      </c>
      <c r="N6" s="521" t="str">
        <f>IF(M6=0,"OK","@@")</f>
        <v>OK</v>
      </c>
    </row>
    <row r="7" spans="1:15" ht="24.95" customHeight="1">
      <c r="A7" s="449" t="s">
        <v>155</v>
      </c>
      <c r="B7" s="437">
        <f xml:space="preserve"> SUMIFS('3. 일입'!$N$8:$N$1831, '3. 일입'!$Y$8:$Y$1831, "도비")</f>
        <v>0</v>
      </c>
      <c r="C7" s="450"/>
      <c r="D7" s="437">
        <f>'3. 일출(자체)'!P6</f>
        <v>2751882</v>
      </c>
      <c r="E7" s="450"/>
      <c r="F7" s="437">
        <f>D7-B7</f>
        <v>2751882</v>
      </c>
      <c r="G7" s="433"/>
      <c r="H7" s="449" t="s">
        <v>155</v>
      </c>
      <c r="I7" s="437">
        <f xml:space="preserve"> SUMIFS('3. 일입'!$P$8:$P$1831, '3. 일입'!$Y$8:$Y$1831, "도비")</f>
        <v>0</v>
      </c>
      <c r="J7" s="450"/>
      <c r="K7" s="437">
        <f>'3. 일출(자체)'!R6</f>
        <v>0</v>
      </c>
      <c r="L7" s="450"/>
      <c r="M7" s="437">
        <f>K7-I7</f>
        <v>0</v>
      </c>
    </row>
    <row r="8" spans="1:15" ht="24.95" customHeight="1">
      <c r="A8" s="449" t="s">
        <v>156</v>
      </c>
      <c r="B8" s="437">
        <f xml:space="preserve"> SUMIFS('3. 일입'!$AD$7:$AD$1831, '3. 일입'!$AL$7:$AL$1831, "국비") + SUMIFS('3. 일입'!$AD$7:$AD$1831, '3. 일입'!$AL$7:$AL$1831, "균특") + SUMIFS('3. 일입'!$AD$7:$AD$1831, '3. 일입'!$AL$7:$AL$1831, "기금") + SUMIFS('3. 일입'!$AD$7:$AD$1831, '3. 일입'!$AL$7:$AL$1831, "특교") +SUMIFS('3. 일입'!$AD$7:$AD$1831, '3. 일입'!$AL$7:$AL$1831, "소교") + SUMIFS('3. 일입'!$AD$7:$AD$1831, '3. 일입'!$AL$7:$AL$1831, "소멸")</f>
        <v>0</v>
      </c>
      <c r="C8" s="450"/>
      <c r="D8" s="437">
        <f>'3. 일출(의존)'!AC6+'3. 일출(의존)'!AD6+'3. 일출(의존)'!AE6</f>
        <v>400000</v>
      </c>
      <c r="E8" s="450"/>
      <c r="F8" s="437">
        <f t="shared" ref="F8" si="0">D8-B8</f>
        <v>400000</v>
      </c>
      <c r="G8" s="433"/>
      <c r="H8" s="449" t="s">
        <v>156</v>
      </c>
      <c r="I8" s="437">
        <f xml:space="preserve"> SUMIFS('3. 일입'!$AI$7:$AI$1831, '3. 일입'!$AL$7:$AL$1831, "국비") + SUMIFS('3. 일입'!$AI$7:$AI$1831, '3. 일입'!$AL$7:$AL$1831, "균특") + SUMIFS('3. 일입'!$AI$7:$AI$1831, '3. 일입'!$AL$7:$AL$1831, "기금") + SUMIFS('3. 일입'!$AI$7:$AI$1831, '3. 일입'!$AL$7:$AL$1831, "특교") +SUMIFS('3. 일입'!$AI$7:$AI$1831, '3. 일입'!$AL$7:$AL$1831, "소교") + SUMIFS('3. 일입'!$AI$7:$AI$1831, '3. 일입'!$AL$7:$AL$1831, "소멸")</f>
        <v>0</v>
      </c>
      <c r="J8" s="450"/>
      <c r="K8" s="437">
        <f>'3. 일출(의존)'!AI6+'3. 일출(의존)'!AJ6+'3. 일출(의존)'!AK6</f>
        <v>0</v>
      </c>
      <c r="L8" s="450"/>
      <c r="M8" s="437">
        <f t="shared" ref="M8" si="1">K8-I8</f>
        <v>0</v>
      </c>
    </row>
    <row r="9" spans="1:15" ht="24.95" customHeight="1">
      <c r="A9" s="446" t="s">
        <v>157</v>
      </c>
      <c r="B9" s="447">
        <f>SUM(B10:B15)</f>
        <v>450250</v>
      </c>
      <c r="C9" s="448" t="str">
        <f>IF(B9='3. 일입'!$AA$7,"OK","@@")</f>
        <v>OK</v>
      </c>
      <c r="D9" s="447">
        <f>SUM(D10:D15)</f>
        <v>436750</v>
      </c>
      <c r="E9" s="448" t="str">
        <f>IF(D9='3. 일출(의존)'!$AB$6,"OK","@@")</f>
        <v>OK</v>
      </c>
      <c r="F9" s="447">
        <f>SUM(F10:F15)</f>
        <v>-13500</v>
      </c>
      <c r="G9" s="433"/>
      <c r="H9" s="446" t="s">
        <v>157</v>
      </c>
      <c r="I9" s="447">
        <f>SUM(I10:I15)</f>
        <v>0</v>
      </c>
      <c r="J9" s="448" t="str">
        <f>IF(I9='3. 일입'!$AF$7,"OK","@@")</f>
        <v>OK</v>
      </c>
      <c r="K9" s="447">
        <f>SUM(K10:K15)</f>
        <v>0</v>
      </c>
      <c r="L9" s="448" t="str">
        <f>IF(K9='3. 일출(의존)'!$AH$6,"OK","@@")</f>
        <v>OK</v>
      </c>
      <c r="M9" s="447">
        <f>SUM(M10:M15)</f>
        <v>0</v>
      </c>
      <c r="N9" s="521" t="str">
        <f>IF(M9=0,"OK","@@")</f>
        <v>OK</v>
      </c>
    </row>
    <row r="10" spans="1:15" ht="24.95" customHeight="1">
      <c r="A10" s="449" t="s">
        <v>158</v>
      </c>
      <c r="B10" s="437">
        <f xml:space="preserve"> SUMIFS('3. 일입'!$AA$8:$AA$1831, '3. 일입'!$AL$8:$AL$1831, $A10)</f>
        <v>400000</v>
      </c>
      <c r="C10" s="450"/>
      <c r="D10" s="437">
        <f>SUMIFS('3. 일출(의존)'!$AB$7:$AB$1840, '3. 일출(의존)'!$AP$7:$AP$1840, A10)</f>
        <v>400000</v>
      </c>
      <c r="E10" s="450"/>
      <c r="F10" s="437">
        <f t="shared" ref="F10:F15" si="2">D10-B10</f>
        <v>0</v>
      </c>
      <c r="G10" s="433"/>
      <c r="H10" s="449" t="s">
        <v>158</v>
      </c>
      <c r="I10" s="437">
        <f xml:space="preserve"> SUMIFS('3. 일입'!$AF$8:$AF$1831, '3. 일입'!$AL$8:$AL$1831, $A10)</f>
        <v>0</v>
      </c>
      <c r="J10" s="450"/>
      <c r="K10" s="437">
        <f>SUMIFS('3. 일출(의존)'!$AH$7:$AH$1829, '3. 일출(의존)'!$AP$7:$AP$1829, H10)</f>
        <v>0</v>
      </c>
      <c r="L10" s="450"/>
      <c r="M10" s="437">
        <f t="shared" ref="M10:M15" si="3">K10-I10</f>
        <v>0</v>
      </c>
    </row>
    <row r="11" spans="1:15" ht="24.95" customHeight="1">
      <c r="A11" s="449" t="s">
        <v>210</v>
      </c>
      <c r="B11" s="437">
        <f xml:space="preserve"> SUMIFS('3. 일입'!$AA$8:$AA$1831, '3. 일입'!$AL$8:$AL$1831, $A11)</f>
        <v>50250</v>
      </c>
      <c r="C11" s="450"/>
      <c r="D11" s="437">
        <f>SUMIFS('3. 일출(의존)'!$AB$7:$AB$1840, '3. 일출(의존)'!$AP$7:$AP$1840, A11)</f>
        <v>36750</v>
      </c>
      <c r="E11" s="450"/>
      <c r="F11" s="437">
        <f t="shared" si="2"/>
        <v>-13500</v>
      </c>
      <c r="G11" s="433"/>
      <c r="H11" s="449" t="s">
        <v>210</v>
      </c>
      <c r="I11" s="437">
        <f xml:space="preserve"> SUMIFS('3. 일입'!$AF$8:$AF$1831, '3. 일입'!$AL$8:$AL$1831, $A11)</f>
        <v>0</v>
      </c>
      <c r="J11" s="450"/>
      <c r="K11" s="437">
        <f>SUMIFS('3. 일출(의존)'!$AH$7:$AH$1829, '3. 일출(의존)'!$AP$7:$AP$1829, H11)</f>
        <v>0</v>
      </c>
      <c r="L11" s="450"/>
      <c r="M11" s="437">
        <f t="shared" si="3"/>
        <v>0</v>
      </c>
    </row>
    <row r="12" spans="1:15" ht="24.95" customHeight="1">
      <c r="A12" s="449" t="s">
        <v>159</v>
      </c>
      <c r="B12" s="437">
        <f xml:space="preserve"> SUMIFS('3. 일입'!$AA$8:$AA$1831, '3. 일입'!$AL$8:$AL$1831, $A12)</f>
        <v>0</v>
      </c>
      <c r="C12" s="450"/>
      <c r="D12" s="437">
        <f>SUMIFS('3. 일출(의존)'!$AB$7:$AB$1840, '3. 일출(의존)'!$AP$7:$AP$1840, A12)</f>
        <v>0</v>
      </c>
      <c r="E12" s="450"/>
      <c r="F12" s="437">
        <f t="shared" si="2"/>
        <v>0</v>
      </c>
      <c r="G12" s="433"/>
      <c r="H12" s="449" t="s">
        <v>159</v>
      </c>
      <c r="I12" s="437">
        <f xml:space="preserve"> SUMIFS('3. 일입'!$AF$8:$AF$1831, '3. 일입'!$AL$8:$AL$1831, $A12)</f>
        <v>0</v>
      </c>
      <c r="J12" s="450"/>
      <c r="K12" s="437">
        <f>SUMIFS('3. 일출(의존)'!$AH$7:$AH$1829, '3. 일출(의존)'!$AP$7:$AP$1829, H12)</f>
        <v>0</v>
      </c>
      <c r="L12" s="450"/>
      <c r="M12" s="437">
        <f t="shared" si="3"/>
        <v>0</v>
      </c>
    </row>
    <row r="13" spans="1:15" ht="24.95" customHeight="1">
      <c r="A13" s="449" t="s">
        <v>160</v>
      </c>
      <c r="B13" s="437">
        <f xml:space="preserve"> SUMIFS('3. 일입'!$AA$8:$AA$1831, '3. 일입'!$AL$8:$AL$1831, $A13)</f>
        <v>0</v>
      </c>
      <c r="C13" s="450"/>
      <c r="D13" s="437">
        <f>SUMIFS('3. 일출(의존)'!$AB$7:$AB$1840, '3. 일출(의존)'!$AP$7:$AP$1840, A13)</f>
        <v>0</v>
      </c>
      <c r="E13" s="450"/>
      <c r="F13" s="437">
        <f t="shared" si="2"/>
        <v>0</v>
      </c>
      <c r="G13" s="433"/>
      <c r="H13" s="449" t="s">
        <v>160</v>
      </c>
      <c r="I13" s="437">
        <f xml:space="preserve"> SUMIFS('3. 일입'!$AF$8:$AF$1831, '3. 일입'!$AL$8:$AL$1831, $A13)</f>
        <v>0</v>
      </c>
      <c r="J13" s="450"/>
      <c r="K13" s="437">
        <f>SUMIFS('3. 일출(의존)'!$AH$7:$AH$1829, '3. 일출(의존)'!$AP$7:$AP$1829, H13)</f>
        <v>0</v>
      </c>
      <c r="L13" s="450"/>
      <c r="M13" s="437">
        <f t="shared" si="3"/>
        <v>0</v>
      </c>
    </row>
    <row r="14" spans="1:15" s="19" customFormat="1" ht="24.95" customHeight="1">
      <c r="A14" s="449" t="s">
        <v>260</v>
      </c>
      <c r="B14" s="437">
        <f xml:space="preserve"> SUMIFS('3. 일입'!$AA$8:$AA$1831, '3. 일입'!$AL$8:$AL$1831, $A14)</f>
        <v>0</v>
      </c>
      <c r="C14" s="450"/>
      <c r="D14" s="437">
        <f>SUMIFS('3. 일출(의존)'!$AB$7:$AB$1840, '3. 일출(의존)'!$AP$7:$AP$1840, A14)</f>
        <v>0</v>
      </c>
      <c r="E14" s="450"/>
      <c r="F14" s="437">
        <f t="shared" si="2"/>
        <v>0</v>
      </c>
      <c r="G14" s="433"/>
      <c r="H14" s="449" t="s">
        <v>260</v>
      </c>
      <c r="I14" s="437">
        <f xml:space="preserve"> SUMIFS('3. 일입'!$AF$8:$AF$1831, '3. 일입'!$AL$8:$AL$1831, $A14)</f>
        <v>0</v>
      </c>
      <c r="J14" s="450"/>
      <c r="K14" s="437">
        <f>SUMIFS('3. 일출(의존)'!$AH$7:$AH$1829, '3. 일출(의존)'!$AP$7:$AP$1829, H14)</f>
        <v>0</v>
      </c>
      <c r="L14" s="450"/>
      <c r="M14" s="437">
        <f t="shared" si="3"/>
        <v>0</v>
      </c>
      <c r="N14" s="521"/>
    </row>
    <row r="15" spans="1:15" s="19" customFormat="1" ht="24.95" customHeight="1">
      <c r="A15" s="449" t="s">
        <v>1023</v>
      </c>
      <c r="B15" s="437">
        <f xml:space="preserve"> SUMIFS('3. 일입'!$AA$8:$AA$1831, '3. 일입'!$AL$8:$AL$1831, $A15)</f>
        <v>0</v>
      </c>
      <c r="C15" s="450"/>
      <c r="D15" s="437">
        <f>SUMIFS('3. 일출(의존)'!$AB$7:$AB$1840, '3. 일출(의존)'!$AP$7:$AP$1840, A15)</f>
        <v>0</v>
      </c>
      <c r="E15" s="450"/>
      <c r="F15" s="437">
        <f t="shared" si="2"/>
        <v>0</v>
      </c>
      <c r="G15" s="433"/>
      <c r="H15" s="449" t="s">
        <v>1023</v>
      </c>
      <c r="I15" s="437">
        <f xml:space="preserve"> SUMIFS('3. 일입'!$AF$8:$AF$1831, '3. 일입'!$AL$8:$AL$1831, $A15)</f>
        <v>0</v>
      </c>
      <c r="J15" s="450"/>
      <c r="K15" s="437">
        <f>SUMIFS('3. 일출(의존)'!$AH$7:$AH$1829, '3. 일출(의존)'!$AP$7:$AP$1829, H15)</f>
        <v>0</v>
      </c>
      <c r="L15" s="450"/>
      <c r="M15" s="437">
        <f t="shared" si="3"/>
        <v>0</v>
      </c>
      <c r="N15" s="521"/>
    </row>
    <row r="17" spans="1:14" ht="24.95" customHeight="1">
      <c r="A17" s="689" t="s">
        <v>1064</v>
      </c>
      <c r="B17" s="689"/>
      <c r="C17" s="689"/>
      <c r="D17" s="689"/>
      <c r="E17" s="689"/>
      <c r="F17" s="689"/>
    </row>
    <row r="18" spans="1:14" ht="24.95" customHeight="1">
      <c r="A18" s="687" t="s">
        <v>148</v>
      </c>
      <c r="B18" s="440" t="s">
        <v>161</v>
      </c>
      <c r="C18" s="441"/>
      <c r="D18" s="441"/>
      <c r="E18" s="441"/>
      <c r="F18" s="441"/>
      <c r="G18" s="433"/>
      <c r="H18" s="687" t="s">
        <v>148</v>
      </c>
      <c r="I18" s="440" t="s">
        <v>163</v>
      </c>
      <c r="J18" s="441"/>
      <c r="K18" s="441"/>
      <c r="L18" s="441"/>
      <c r="M18" s="441"/>
    </row>
    <row r="19" spans="1:14" ht="24.95" customHeight="1">
      <c r="A19" s="688"/>
      <c r="B19" s="442" t="s">
        <v>146</v>
      </c>
      <c r="C19" s="442" t="s">
        <v>120</v>
      </c>
      <c r="D19" s="442" t="s">
        <v>147</v>
      </c>
      <c r="E19" s="442" t="s">
        <v>120</v>
      </c>
      <c r="F19" s="442" t="s">
        <v>152</v>
      </c>
      <c r="G19" s="433"/>
      <c r="H19" s="688"/>
      <c r="I19" s="442" t="s">
        <v>146</v>
      </c>
      <c r="J19" s="442" t="s">
        <v>120</v>
      </c>
      <c r="K19" s="442" t="s">
        <v>147</v>
      </c>
      <c r="L19" s="442" t="s">
        <v>120</v>
      </c>
      <c r="M19" s="442" t="s">
        <v>152</v>
      </c>
    </row>
    <row r="20" spans="1:14" ht="24.95" customHeight="1">
      <c r="A20" s="443" t="s">
        <v>153</v>
      </c>
      <c r="B20" s="444">
        <f>B21+B24</f>
        <v>0</v>
      </c>
      <c r="C20" s="445" t="str">
        <f>IF(B20=(SUMIFS('3. 일입'!AC:AC,'3. 일입'!AO:AO,"지방채")+SUMIFS('3. 일입'!AD:AD,'3. 일입'!AO:AO,"지역개발기금")),"OK","@@")</f>
        <v>OK</v>
      </c>
      <c r="D20" s="444">
        <f>D21+D24</f>
        <v>0</v>
      </c>
      <c r="E20" s="445" t="str">
        <f>IF(D20=('3. 일출(자체)'!AD6+'3. 일출(자체)'!AE6+'3. 일출(의존)'!AD6+'3. 일출(의존)'!AE6),"OK","@@")</f>
        <v>OK</v>
      </c>
      <c r="F20" s="444">
        <f>F21+F24</f>
        <v>0</v>
      </c>
      <c r="G20" s="433"/>
      <c r="H20" s="443" t="s">
        <v>153</v>
      </c>
      <c r="I20" s="444">
        <f>I21+I24</f>
        <v>0</v>
      </c>
      <c r="J20" s="445" t="str">
        <f>IF(I20=(SUMIFS('3. 일입'!AH:AH,'3. 일입'!AO:AO,"지방채")+SUMIFS('3. 일입'!AI:AI,'3. 일입'!AO:AO,"지역개발기금")),"OK","@@")</f>
        <v>OK</v>
      </c>
      <c r="K20" s="444">
        <f>K21+K24</f>
        <v>0</v>
      </c>
      <c r="L20" s="445" t="str">
        <f>IF(K20=('3. 일출(자체)'!AI6+'3. 일출(자체)'!AJ6+'3. 일출(의존)'!AJ6+'3. 일출(의존)'!AK6),"OK","@@")</f>
        <v>OK</v>
      </c>
      <c r="M20" s="444">
        <f>M21+M24</f>
        <v>0</v>
      </c>
      <c r="N20" s="521" t="str">
        <f>IF(M20=0,"OK","@@")</f>
        <v>OK</v>
      </c>
    </row>
    <row r="21" spans="1:14" ht="24.95" customHeight="1">
      <c r="A21" s="446" t="s">
        <v>1065</v>
      </c>
      <c r="B21" s="447">
        <f>SUM(B22:B23)</f>
        <v>0</v>
      </c>
      <c r="C21" s="448"/>
      <c r="D21" s="447">
        <f>SUM(D22:D23)</f>
        <v>0</v>
      </c>
      <c r="E21" s="448"/>
      <c r="F21" s="452"/>
      <c r="G21" s="433"/>
      <c r="H21" s="446" t="s">
        <v>1065</v>
      </c>
      <c r="I21" s="447">
        <f>SUM(I22:I23)</f>
        <v>0</v>
      </c>
      <c r="J21" s="448"/>
      <c r="K21" s="447">
        <f>SUM(K22:K23)</f>
        <v>0</v>
      </c>
      <c r="L21" s="448"/>
      <c r="M21" s="452"/>
    </row>
    <row r="22" spans="1:14" s="19" customFormat="1" ht="24.95" customHeight="1">
      <c r="A22" s="449" t="s">
        <v>1035</v>
      </c>
      <c r="B22" s="437">
        <f xml:space="preserve"> SUMIFS('3. 일입'!AC:AC,'3. 일입'!H:H,"=6*")</f>
        <v>0</v>
      </c>
      <c r="C22" s="450"/>
      <c r="D22" s="437">
        <f>SUMIFS('3. 일출(자체)'!AD:AD,'3. 일출(자체)'!AO:AO,"지방채")</f>
        <v>0</v>
      </c>
      <c r="E22" s="450"/>
      <c r="F22" s="451"/>
      <c r="G22" s="433"/>
      <c r="H22" s="449" t="s">
        <v>1035</v>
      </c>
      <c r="I22" s="437">
        <f xml:space="preserve"> SUMIFS('3. 일입'!AH:AH,'3. 일입'!H:H,"=6*")</f>
        <v>0</v>
      </c>
      <c r="J22" s="450"/>
      <c r="K22" s="437">
        <f>SUMIFS('3. 일출(자체)'!AI:AI,'3. 일출(자체)'!AO:AO,"지방채")</f>
        <v>0</v>
      </c>
      <c r="L22" s="450"/>
      <c r="M22" s="451"/>
      <c r="N22" s="521"/>
    </row>
    <row r="23" spans="1:14" s="19" customFormat="1" ht="24.95" customHeight="1">
      <c r="A23" s="449" t="s">
        <v>773</v>
      </c>
      <c r="B23" s="437">
        <f xml:space="preserve"> SUMIFS('3. 일입'!AD:AD,'3. 일입'!H:H,"722-02")</f>
        <v>0</v>
      </c>
      <c r="C23" s="450"/>
      <c r="D23" s="437">
        <f>SUMIFS('3. 일출(자체)'!AE:AE,'3. 일출(자체)'!AO:AO,"지역개발기금")</f>
        <v>0</v>
      </c>
      <c r="E23" s="450"/>
      <c r="F23" s="451"/>
      <c r="G23" s="433"/>
      <c r="H23" s="449" t="s">
        <v>773</v>
      </c>
      <c r="I23" s="437">
        <f xml:space="preserve"> SUMIFS('3. 일입'!AI:AI,'3. 일입'!H:H,"722-02")</f>
        <v>0</v>
      </c>
      <c r="J23" s="450"/>
      <c r="K23" s="437">
        <f>SUMIFS('3. 일출(자체)'!AJ:AJ,'3. 일출(자체)'!AO:AO,"지역개발기금")</f>
        <v>0</v>
      </c>
      <c r="L23" s="450"/>
      <c r="M23" s="451"/>
      <c r="N23" s="521"/>
    </row>
    <row r="24" spans="1:14" ht="24.95" customHeight="1">
      <c r="A24" s="446" t="s">
        <v>1066</v>
      </c>
      <c r="B24" s="452"/>
      <c r="C24" s="448"/>
      <c r="D24" s="447">
        <f>SUM(D25:D26)</f>
        <v>0</v>
      </c>
      <c r="E24" s="448"/>
      <c r="F24" s="452"/>
      <c r="G24" s="433"/>
      <c r="H24" s="446" t="s">
        <v>1066</v>
      </c>
      <c r="I24" s="452"/>
      <c r="J24" s="448"/>
      <c r="K24" s="447">
        <f>SUM(K25:K26)</f>
        <v>0</v>
      </c>
      <c r="L24" s="448"/>
      <c r="M24" s="452"/>
    </row>
    <row r="25" spans="1:14" ht="24.95" customHeight="1">
      <c r="A25" s="449" t="s">
        <v>1035</v>
      </c>
      <c r="B25" s="451"/>
      <c r="C25" s="450"/>
      <c r="D25" s="437">
        <f>SUMIFS('3. 일출(의존)'!AD:AD,'3. 일출(의존)'!AU:AU,"지방채")</f>
        <v>0</v>
      </c>
      <c r="E25" s="450"/>
      <c r="F25" s="451"/>
      <c r="G25" s="433"/>
      <c r="H25" s="449" t="s">
        <v>1035</v>
      </c>
      <c r="I25" s="451"/>
      <c r="J25" s="450"/>
      <c r="K25" s="437">
        <f>SUMIFS('3. 일출(의존)'!AJ:AJ,'3. 일출(의존)'!AU:AU,"지방채")</f>
        <v>0</v>
      </c>
      <c r="L25" s="450"/>
      <c r="M25" s="451"/>
    </row>
    <row r="26" spans="1:14" ht="24.95" customHeight="1">
      <c r="A26" s="449" t="s">
        <v>773</v>
      </c>
      <c r="B26" s="451"/>
      <c r="C26" s="450"/>
      <c r="D26" s="437">
        <f>SUMIFS('3. 일출(의존)'!AE:AE,'3. 일출(의존)'!AU:AU,"지역개발기금")</f>
        <v>0</v>
      </c>
      <c r="E26" s="450"/>
      <c r="F26" s="451"/>
      <c r="G26" s="433"/>
      <c r="H26" s="449" t="s">
        <v>773</v>
      </c>
      <c r="I26" s="451"/>
      <c r="J26" s="450"/>
      <c r="K26" s="437">
        <f>SUMIFS('3. 일출(의존)'!AK:AK,'3. 일출(의존)'!AU:AU,"지역개발기금")</f>
        <v>0</v>
      </c>
      <c r="L26" s="450"/>
      <c r="M26" s="451"/>
    </row>
    <row r="28" spans="1:14" ht="24.95" customHeight="1">
      <c r="A28" s="686" t="s">
        <v>1613</v>
      </c>
      <c r="B28" s="686"/>
      <c r="C28" s="686"/>
      <c r="D28" s="686"/>
      <c r="E28" s="686"/>
      <c r="F28" s="686"/>
      <c r="G28" s="19"/>
      <c r="H28" s="19"/>
      <c r="I28" s="19"/>
      <c r="J28" s="19"/>
      <c r="K28" s="19"/>
      <c r="L28" s="19"/>
      <c r="M28" s="19"/>
    </row>
    <row r="29" spans="1:14" ht="24.95" customHeight="1">
      <c r="A29" s="687" t="s">
        <v>148</v>
      </c>
      <c r="B29" s="535" t="s">
        <v>161</v>
      </c>
      <c r="C29" s="536"/>
      <c r="D29" s="536"/>
      <c r="E29" s="536"/>
      <c r="F29" s="536"/>
      <c r="G29" s="433"/>
      <c r="H29" s="687" t="s">
        <v>148</v>
      </c>
      <c r="I29" s="535" t="s">
        <v>163</v>
      </c>
      <c r="J29" s="536"/>
      <c r="K29" s="536"/>
      <c r="L29" s="536"/>
      <c r="M29" s="536"/>
    </row>
    <row r="30" spans="1:14" ht="24.95" customHeight="1">
      <c r="A30" s="688"/>
      <c r="B30" s="537" t="s">
        <v>1619</v>
      </c>
      <c r="C30" s="538" t="s">
        <v>1614</v>
      </c>
      <c r="D30" s="539" t="s">
        <v>1615</v>
      </c>
      <c r="E30" s="538" t="s">
        <v>1616</v>
      </c>
      <c r="F30" s="539" t="s">
        <v>152</v>
      </c>
      <c r="G30" s="433"/>
      <c r="H30" s="688"/>
      <c r="I30" s="537" t="s">
        <v>1619</v>
      </c>
      <c r="J30" s="538" t="s">
        <v>1614</v>
      </c>
      <c r="K30" s="539" t="s">
        <v>1615</v>
      </c>
      <c r="L30" s="538" t="s">
        <v>1616</v>
      </c>
      <c r="M30" s="539" t="s">
        <v>152</v>
      </c>
    </row>
    <row r="31" spans="1:14" ht="24.95" customHeight="1">
      <c r="A31" s="540" t="s">
        <v>153</v>
      </c>
      <c r="B31" s="541">
        <f>SUM(B32:B33)</f>
        <v>0</v>
      </c>
      <c r="C31" s="542" t="str">
        <f>IF(B31='3. 일입'!$AD$7,"OK","@@")</f>
        <v>OK</v>
      </c>
      <c r="D31" s="541" t="e">
        <f>SUM(D32:D33)</f>
        <v>#REF!</v>
      </c>
      <c r="E31" s="542" t="e">
        <f>IF(D31=B31,"OK","@@")</f>
        <v>#REF!</v>
      </c>
      <c r="F31" s="541" t="e">
        <f>D31-B31</f>
        <v>#REF!</v>
      </c>
      <c r="G31" s="433"/>
      <c r="H31" s="540" t="s">
        <v>153</v>
      </c>
      <c r="I31" s="541">
        <f>SUM(I32:I33)</f>
        <v>0</v>
      </c>
      <c r="J31" s="542" t="str">
        <f>IF(I31='3. 일입'!$AI$7,"OK","@@")</f>
        <v>OK</v>
      </c>
      <c r="K31" s="541" t="e">
        <f>SUM(K32:K33)</f>
        <v>#REF!</v>
      </c>
      <c r="L31" s="542" t="e">
        <f>IF(K31=I31,"OK","@@")</f>
        <v>#REF!</v>
      </c>
      <c r="M31" s="541" t="e">
        <f>K31-I31</f>
        <v>#REF!</v>
      </c>
    </row>
    <row r="32" spans="1:14" ht="24.95" customHeight="1">
      <c r="A32" s="543" t="s">
        <v>1617</v>
      </c>
      <c r="B32" s="544">
        <f>'3. 일출(자체)'!AE6</f>
        <v>0</v>
      </c>
      <c r="C32" s="545"/>
      <c r="D32" s="684" t="e">
        <f>SUMIFS(#REF!,#REF!,"예산담당관",#REF!,"704-01",#REF!,"도 융자금")</f>
        <v>#REF!</v>
      </c>
      <c r="E32" s="545"/>
      <c r="F32" s="451"/>
      <c r="G32" s="433"/>
      <c r="H32" s="543" t="s">
        <v>1617</v>
      </c>
      <c r="I32" s="546">
        <f>'3. 일출(자체)'!AJ6</f>
        <v>0</v>
      </c>
      <c r="J32" s="545"/>
      <c r="K32" s="680" t="e">
        <f>SUMIFS(#REF!,#REF!,"예산담당관",#REF!,"704-01",#REF!,"도 융자금")</f>
        <v>#REF!</v>
      </c>
      <c r="L32" s="545"/>
      <c r="M32" s="547"/>
    </row>
    <row r="33" spans="1:13" ht="24.95" customHeight="1">
      <c r="A33" s="543" t="s">
        <v>1618</v>
      </c>
      <c r="B33" s="544">
        <f>'3. 일출(의존)'!AE6</f>
        <v>0</v>
      </c>
      <c r="C33" s="545"/>
      <c r="D33" s="685"/>
      <c r="E33" s="545"/>
      <c r="F33" s="451"/>
      <c r="G33" s="433"/>
      <c r="H33" s="543" t="s">
        <v>1618</v>
      </c>
      <c r="I33" s="546">
        <f>'3. 일출(의존)'!AK6</f>
        <v>0</v>
      </c>
      <c r="J33" s="545"/>
      <c r="K33" s="681"/>
      <c r="L33" s="545"/>
      <c r="M33" s="547"/>
    </row>
    <row r="35" spans="1:13" ht="24.95" customHeight="1">
      <c r="A35" s="686" t="s">
        <v>1620</v>
      </c>
      <c r="B35" s="686"/>
      <c r="C35" s="686"/>
      <c r="D35" s="686"/>
      <c r="E35" s="686"/>
      <c r="F35" s="686"/>
      <c r="G35" s="19"/>
      <c r="H35" s="19"/>
      <c r="I35" s="19"/>
      <c r="J35" s="19"/>
      <c r="K35" s="19"/>
      <c r="L35" s="19"/>
      <c r="M35" s="19"/>
    </row>
    <row r="36" spans="1:13" ht="24.95" customHeight="1">
      <c r="A36" s="687" t="s">
        <v>148</v>
      </c>
      <c r="B36" s="535" t="s">
        <v>161</v>
      </c>
      <c r="C36" s="536"/>
      <c r="D36" s="536"/>
      <c r="E36" s="536"/>
      <c r="F36" s="536"/>
      <c r="G36" s="433"/>
      <c r="H36" s="687" t="s">
        <v>148</v>
      </c>
      <c r="I36" s="535" t="s">
        <v>163</v>
      </c>
      <c r="J36" s="536"/>
      <c r="K36" s="536"/>
      <c r="L36" s="536"/>
      <c r="M36" s="536"/>
    </row>
    <row r="37" spans="1:13" ht="24.95" customHeight="1">
      <c r="A37" s="688"/>
      <c r="B37" s="537" t="s">
        <v>1621</v>
      </c>
      <c r="C37" s="539" t="s">
        <v>120</v>
      </c>
      <c r="D37" s="539" t="s">
        <v>1622</v>
      </c>
      <c r="E37" s="539" t="s">
        <v>120</v>
      </c>
      <c r="F37" s="539" t="s">
        <v>152</v>
      </c>
      <c r="G37" s="433"/>
      <c r="H37" s="688"/>
      <c r="I37" s="537" t="s">
        <v>1621</v>
      </c>
      <c r="J37" s="539" t="s">
        <v>120</v>
      </c>
      <c r="K37" s="539" t="s">
        <v>1622</v>
      </c>
      <c r="L37" s="539" t="s">
        <v>120</v>
      </c>
      <c r="M37" s="539" t="s">
        <v>152</v>
      </c>
    </row>
    <row r="38" spans="1:13" ht="24.95" customHeight="1">
      <c r="A38" s="540" t="s">
        <v>153</v>
      </c>
      <c r="B38" s="541" t="e">
        <f>B39+B43</f>
        <v>#REF!</v>
      </c>
      <c r="C38" s="542"/>
      <c r="D38" s="541" t="e">
        <f>D39+D43</f>
        <v>#REF!</v>
      </c>
      <c r="E38" s="542" t="e">
        <f>IF(D38=B38,"OK","@@")</f>
        <v>#REF!</v>
      </c>
      <c r="F38" s="541" t="e">
        <f>F39+F43</f>
        <v>#REF!</v>
      </c>
      <c r="G38" s="433"/>
      <c r="H38" s="540" t="s">
        <v>153</v>
      </c>
      <c r="I38" s="541" t="e">
        <f>I39+I43</f>
        <v>#REF!</v>
      </c>
      <c r="J38" s="542"/>
      <c r="K38" s="541" t="e">
        <f>K39+K43</f>
        <v>#REF!</v>
      </c>
      <c r="L38" s="542" t="e">
        <f>IF(K38=I38,"OK","@@")</f>
        <v>#REF!</v>
      </c>
      <c r="M38" s="541" t="e">
        <f>M39+M43</f>
        <v>#REF!</v>
      </c>
    </row>
    <row r="39" spans="1:13" ht="24.95" customHeight="1">
      <c r="A39" s="548" t="s">
        <v>1623</v>
      </c>
      <c r="B39" s="549" t="e">
        <f>SUM(B40:B42)</f>
        <v>#REF!</v>
      </c>
      <c r="C39" s="550"/>
      <c r="D39" s="549">
        <f>D40+D42</f>
        <v>0</v>
      </c>
      <c r="E39" s="550" t="e">
        <f>IF(D39=B39,"OK","@@")</f>
        <v>#REF!</v>
      </c>
      <c r="F39" s="549" t="e">
        <f>D39-B39</f>
        <v>#REF!</v>
      </c>
      <c r="G39" s="433"/>
      <c r="H39" s="548" t="s">
        <v>1623</v>
      </c>
      <c r="I39" s="549" t="e">
        <f>SUM(I40:I42)</f>
        <v>#REF!</v>
      </c>
      <c r="J39" s="550"/>
      <c r="K39" s="549">
        <f>K40+K42</f>
        <v>0</v>
      </c>
      <c r="L39" s="550" t="e">
        <f>IF(K39=I39,"OK","@@")</f>
        <v>#REF!</v>
      </c>
      <c r="M39" s="549" t="e">
        <f>K39-I39</f>
        <v>#REF!</v>
      </c>
    </row>
    <row r="40" spans="1:13" ht="24.95" customHeight="1">
      <c r="A40" s="543" t="s">
        <v>1624</v>
      </c>
      <c r="B40" s="544">
        <f>SUMIFS('3. 일출(자체)'!P:P,'3. 일출(자체)'!H:H,"701-01")</f>
        <v>0</v>
      </c>
      <c r="C40" s="677" t="s">
        <v>1625</v>
      </c>
      <c r="D40" s="684">
        <f>SUMIFS('4. 특입'!N:N,'4. 특입'!H:H,"721-03")+SUMIFS('3. 일입'!N:N,'3. 일입'!H:H,"721-03")</f>
        <v>0</v>
      </c>
      <c r="E40" s="682" t="s">
        <v>1626</v>
      </c>
      <c r="F40" s="451"/>
      <c r="G40" s="433"/>
      <c r="H40" s="543" t="s">
        <v>1624</v>
      </c>
      <c r="I40" s="546">
        <f>SUMIFS('3. 일출(자체)'!R:R,'3. 일출(자체)'!H:H,"701-01")</f>
        <v>0</v>
      </c>
      <c r="J40" s="677" t="s">
        <v>1625</v>
      </c>
      <c r="K40" s="680">
        <f>SUMIFS('4. 특입'!P:P,'4. 특입'!H:H,"721-03")+SUMIFS('3. 일입'!P:P,'3. 일입'!H:H,"721-03")</f>
        <v>0</v>
      </c>
      <c r="L40" s="682" t="s">
        <v>1626</v>
      </c>
      <c r="M40" s="547"/>
    </row>
    <row r="41" spans="1:13" ht="24.95" customHeight="1">
      <c r="A41" s="543" t="s">
        <v>1627</v>
      </c>
      <c r="B41" s="544">
        <f>SUMIFS('4. 특출'!P:P,'4. 특출'!H:H,"701-01")</f>
        <v>0</v>
      </c>
      <c r="C41" s="678"/>
      <c r="D41" s="685"/>
      <c r="E41" s="683"/>
      <c r="F41" s="451"/>
      <c r="G41" s="433"/>
      <c r="H41" s="543" t="s">
        <v>1627</v>
      </c>
      <c r="I41" s="546">
        <f>SUMIFS('4. 특출'!R:R,'4. 특출'!H:H,"701-01")</f>
        <v>0</v>
      </c>
      <c r="J41" s="678"/>
      <c r="K41" s="681"/>
      <c r="L41" s="683"/>
      <c r="M41" s="547"/>
    </row>
    <row r="42" spans="1:13" ht="24.95" customHeight="1">
      <c r="A42" s="543" t="s">
        <v>1628</v>
      </c>
      <c r="B42" s="544" t="e">
        <f>SUMIFS(#REF!,#REF!,"701-01")</f>
        <v>#REF!</v>
      </c>
      <c r="C42" s="679"/>
      <c r="D42" s="544">
        <f>SUMIFS('4. 특입'!N:N,'4. 특입'!H:H,"721-04")+SUMIFS('3. 일입'!N:N,'3. 일입'!H:H,"721-04")</f>
        <v>0</v>
      </c>
      <c r="E42" s="551" t="s">
        <v>1629</v>
      </c>
      <c r="F42" s="451"/>
      <c r="G42" s="433"/>
      <c r="H42" s="543" t="s">
        <v>1628</v>
      </c>
      <c r="I42" s="546" t="e">
        <f>SUMIFS(#REF!,#REF!,"701-01")</f>
        <v>#REF!</v>
      </c>
      <c r="J42" s="679"/>
      <c r="K42" s="546">
        <f>SUMIFS('4. 특입'!P:P,'4. 특입'!H:H,"721-04")+SUMIFS('3. 일입'!P:P,'3. 일입'!H:H,"721-04")</f>
        <v>0</v>
      </c>
      <c r="L42" s="551" t="s">
        <v>1629</v>
      </c>
      <c r="M42" s="547"/>
    </row>
    <row r="43" spans="1:13" ht="24.95" customHeight="1">
      <c r="A43" s="548" t="s">
        <v>1630</v>
      </c>
      <c r="B43" s="549" t="e">
        <f>SUM(B44:B46)</f>
        <v>#REF!</v>
      </c>
      <c r="C43" s="552"/>
      <c r="D43" s="549" t="e">
        <f>D44+D46</f>
        <v>#REF!</v>
      </c>
      <c r="E43" s="550" t="e">
        <f>IF(D43=B43,"OK","@@")</f>
        <v>#REF!</v>
      </c>
      <c r="F43" s="549" t="e">
        <f>D43-B43</f>
        <v>#REF!</v>
      </c>
      <c r="G43" s="433"/>
      <c r="H43" s="548" t="s">
        <v>1630</v>
      </c>
      <c r="I43" s="549" t="e">
        <f>SUM(I44:I46)</f>
        <v>#REF!</v>
      </c>
      <c r="J43" s="552"/>
      <c r="K43" s="549" t="e">
        <f>K44+K46</f>
        <v>#REF!</v>
      </c>
      <c r="L43" s="550" t="e">
        <f>IF(K43=I43,"OK","@@")</f>
        <v>#REF!</v>
      </c>
      <c r="M43" s="549" t="e">
        <f>K43-I43</f>
        <v>#REF!</v>
      </c>
    </row>
    <row r="44" spans="1:13" ht="24.95" customHeight="1">
      <c r="A44" s="543" t="s">
        <v>1631</v>
      </c>
      <c r="B44" s="544">
        <f>SUMIFS('3. 일출(자체)'!P:P,'3. 일출(자체)'!H:H,"702-01")</f>
        <v>0</v>
      </c>
      <c r="C44" s="677" t="s">
        <v>1632</v>
      </c>
      <c r="D44" s="684" t="e">
        <f>SUMIFS(#REF!,#REF!,"721-03")</f>
        <v>#REF!</v>
      </c>
      <c r="E44" s="682" t="s">
        <v>1626</v>
      </c>
      <c r="F44" s="451"/>
      <c r="G44" s="433"/>
      <c r="H44" s="543" t="s">
        <v>1631</v>
      </c>
      <c r="I44" s="546">
        <f>SUMIFS('3. 일출(자체)'!R:R,'3. 일출(자체)'!H:H,"702-01")</f>
        <v>0</v>
      </c>
      <c r="J44" s="677" t="s">
        <v>1632</v>
      </c>
      <c r="K44" s="680" t="e">
        <f>SUMIFS(#REF!,#REF!,"721-03")</f>
        <v>#REF!</v>
      </c>
      <c r="L44" s="682" t="s">
        <v>1626</v>
      </c>
      <c r="M44" s="547"/>
    </row>
    <row r="45" spans="1:13" ht="24.95" customHeight="1">
      <c r="A45" s="543" t="s">
        <v>1633</v>
      </c>
      <c r="B45" s="544">
        <f>SUMIFS('4. 특출'!P:P,'4. 특출'!H:H,"702-01")</f>
        <v>0</v>
      </c>
      <c r="C45" s="678"/>
      <c r="D45" s="685"/>
      <c r="E45" s="683"/>
      <c r="F45" s="451"/>
      <c r="G45" s="433"/>
      <c r="H45" s="543" t="s">
        <v>1633</v>
      </c>
      <c r="I45" s="546">
        <f>SUMIFS('4. 특출'!R:R,'4. 특출'!H:H,"702-01")</f>
        <v>0</v>
      </c>
      <c r="J45" s="678"/>
      <c r="K45" s="681"/>
      <c r="L45" s="683"/>
      <c r="M45" s="547"/>
    </row>
    <row r="46" spans="1:13" ht="24.95" customHeight="1">
      <c r="A46" s="543" t="s">
        <v>1634</v>
      </c>
      <c r="B46" s="544" t="e">
        <f>SUMIFS(#REF!,#REF!,"702-01")</f>
        <v>#REF!</v>
      </c>
      <c r="C46" s="679"/>
      <c r="D46" s="544" t="e">
        <f>SUMIFS(#REF!,#REF!,"721-04")</f>
        <v>#REF!</v>
      </c>
      <c r="E46" s="551" t="s">
        <v>1629</v>
      </c>
      <c r="F46" s="451"/>
      <c r="G46" s="433"/>
      <c r="H46" s="543" t="s">
        <v>1634</v>
      </c>
      <c r="I46" s="546" t="e">
        <f>SUMIFS(#REF!,#REF!,"702-01")</f>
        <v>#REF!</v>
      </c>
      <c r="J46" s="679"/>
      <c r="K46" s="546" t="e">
        <f>SUMIFS(#REF!,#REF!,"721-04")</f>
        <v>#REF!</v>
      </c>
      <c r="L46" s="551" t="s">
        <v>1629</v>
      </c>
      <c r="M46" s="547"/>
    </row>
  </sheetData>
  <mergeCells count="25">
    <mergeCell ref="A3:A4"/>
    <mergeCell ref="H3:H4"/>
    <mergeCell ref="A18:A19"/>
    <mergeCell ref="H18:H19"/>
    <mergeCell ref="A17:F17"/>
    <mergeCell ref="A28:F28"/>
    <mergeCell ref="A29:A30"/>
    <mergeCell ref="H29:H30"/>
    <mergeCell ref="D32:D33"/>
    <mergeCell ref="K32:K33"/>
    <mergeCell ref="A35:F35"/>
    <mergeCell ref="A36:A37"/>
    <mergeCell ref="H36:H37"/>
    <mergeCell ref="C40:C42"/>
    <mergeCell ref="D40:D41"/>
    <mergeCell ref="E40:E41"/>
    <mergeCell ref="J40:J42"/>
    <mergeCell ref="K40:K41"/>
    <mergeCell ref="L40:L41"/>
    <mergeCell ref="C44:C46"/>
    <mergeCell ref="D44:D45"/>
    <mergeCell ref="E44:E45"/>
    <mergeCell ref="J44:J46"/>
    <mergeCell ref="K44:K45"/>
    <mergeCell ref="L44:L45"/>
  </mergeCells>
  <phoneticPr fontId="1" type="noConversion"/>
  <conditionalFormatting sqref="N20 N5">
    <cfRule type="containsText" dxfId="5" priority="6" operator="containsText" text="@@">
      <formula>NOT(ISERROR(SEARCH("@@",N5)))</formula>
    </cfRule>
  </conditionalFormatting>
  <conditionalFormatting sqref="N6">
    <cfRule type="containsText" dxfId="4" priority="5" operator="containsText" text="@@">
      <formula>NOT(ISERROR(SEARCH("@@",N6)))</formula>
    </cfRule>
  </conditionalFormatting>
  <conditionalFormatting sqref="N9">
    <cfRule type="containsText" dxfId="3" priority="4" operator="containsText" text="@@">
      <formula>NOT(ISERROR(SEARCH("@@",N9)))</formula>
    </cfRule>
  </conditionalFormatting>
  <conditionalFormatting sqref="N21">
    <cfRule type="containsText" dxfId="2" priority="3" operator="containsText" text="@@">
      <formula>NOT(ISERROR(SEARCH("@@",N21)))</formula>
    </cfRule>
  </conditionalFormatting>
  <conditionalFormatting sqref="N24">
    <cfRule type="containsText" dxfId="1" priority="2" operator="containsText" text="@@">
      <formula>NOT(ISERROR(SEARCH("@@",N24)))</formula>
    </cfRule>
  </conditionalFormatting>
  <conditionalFormatting sqref="N1:N1048576">
    <cfRule type="containsText" dxfId="0" priority="1" operator="containsText" text="@@">
      <formula>NOT(ISERROR(SEARCH("@@",N1)))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8" fitToHeight="0" orientation="landscape" r:id="rId1"/>
  <ignoredErrors>
    <ignoredError sqref="C8 E8 J5:J6 J9 L6 L9:M9 E7 C7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N255"/>
  <sheetViews>
    <sheetView showFormulas="1" topLeftCell="Y1" zoomScaleNormal="100" workbookViewId="0">
      <pane ySplit="2" topLeftCell="A3" activePane="bottomLeft" state="frozen"/>
      <selection activeCell="D13" sqref="D13"/>
      <selection pane="bottomLeft" activeCell="AF20" sqref="AF20"/>
    </sheetView>
  </sheetViews>
  <sheetFormatPr defaultRowHeight="20.100000000000001" customHeight="1"/>
  <cols>
    <col min="1" max="1" width="8" bestFit="1" customWidth="1"/>
    <col min="2" max="2" width="8.75" bestFit="1" customWidth="1"/>
    <col min="3" max="3" width="11.375" customWidth="1"/>
    <col min="4" max="4" width="8.5" customWidth="1"/>
    <col min="5" max="5" width="9.5" bestFit="1" customWidth="1"/>
    <col min="6" max="6" width="10.25" bestFit="1" customWidth="1"/>
    <col min="7" max="7" width="8.75" bestFit="1" customWidth="1"/>
    <col min="8" max="8" width="4.25" bestFit="1" customWidth="1"/>
    <col min="9" max="9" width="5" bestFit="1" customWidth="1"/>
    <col min="11" max="11" width="5" bestFit="1" customWidth="1"/>
    <col min="12" max="12" width="8" bestFit="1" customWidth="1"/>
    <col min="13" max="13" width="12.875" bestFit="1" customWidth="1"/>
    <col min="15" max="15" width="3.75" bestFit="1" customWidth="1"/>
    <col min="16" max="16" width="12.25" bestFit="1" customWidth="1"/>
  </cols>
  <sheetData>
    <row r="1" spans="1:40" ht="20.100000000000001" customHeight="1" thickBot="1">
      <c r="K1" t="s">
        <v>147</v>
      </c>
      <c r="O1" t="s">
        <v>146</v>
      </c>
      <c r="R1" t="s">
        <v>1605</v>
      </c>
      <c r="AD1" t="s">
        <v>1606</v>
      </c>
    </row>
    <row r="2" spans="1:40" ht="20.100000000000001" customHeight="1" thickBot="1">
      <c r="A2" s="223" t="s">
        <v>1</v>
      </c>
      <c r="B2" s="224" t="s">
        <v>2</v>
      </c>
      <c r="C2" s="225" t="s">
        <v>0</v>
      </c>
      <c r="D2" s="19"/>
      <c r="E2" s="223" t="s">
        <v>820</v>
      </c>
      <c r="F2" s="224" t="s">
        <v>821</v>
      </c>
      <c r="G2" s="224" t="s">
        <v>844</v>
      </c>
      <c r="H2" s="224" t="s">
        <v>3</v>
      </c>
      <c r="I2" s="225" t="s">
        <v>978</v>
      </c>
      <c r="K2" s="188" t="s">
        <v>502</v>
      </c>
      <c r="L2" s="189" t="s">
        <v>269</v>
      </c>
      <c r="M2" s="190" t="s">
        <v>845</v>
      </c>
      <c r="O2" s="182" t="s">
        <v>505</v>
      </c>
      <c r="P2" s="183" t="s">
        <v>503</v>
      </c>
      <c r="R2" s="522" t="s">
        <v>137</v>
      </c>
      <c r="S2" s="523" t="s">
        <v>238</v>
      </c>
      <c r="T2" s="523" t="s">
        <v>239</v>
      </c>
      <c r="U2" s="523" t="s">
        <v>240</v>
      </c>
      <c r="V2" s="523" t="s">
        <v>138</v>
      </c>
      <c r="W2" s="523" t="s">
        <v>139</v>
      </c>
      <c r="X2" s="523" t="s">
        <v>140</v>
      </c>
      <c r="Y2" s="523" t="s">
        <v>241</v>
      </c>
      <c r="Z2" s="523" t="s">
        <v>166</v>
      </c>
      <c r="AA2" s="523" t="s">
        <v>1013</v>
      </c>
      <c r="AB2" s="524" t="s">
        <v>242</v>
      </c>
      <c r="AD2" s="522" t="s">
        <v>137</v>
      </c>
      <c r="AE2" s="523" t="s">
        <v>238</v>
      </c>
      <c r="AF2" s="523" t="s">
        <v>239</v>
      </c>
      <c r="AG2" s="523" t="s">
        <v>240</v>
      </c>
      <c r="AH2" s="523" t="s">
        <v>138</v>
      </c>
      <c r="AI2" s="523" t="s">
        <v>139</v>
      </c>
      <c r="AJ2" s="523" t="s">
        <v>140</v>
      </c>
      <c r="AK2" s="523" t="s">
        <v>241</v>
      </c>
      <c r="AL2" s="523" t="s">
        <v>166</v>
      </c>
      <c r="AM2" s="523" t="s">
        <v>1013</v>
      </c>
      <c r="AN2" s="524" t="s">
        <v>242</v>
      </c>
    </row>
    <row r="3" spans="1:40" ht="20.100000000000001" customHeight="1">
      <c r="A3" s="191" t="s">
        <v>6</v>
      </c>
      <c r="B3" s="256" t="s">
        <v>4</v>
      </c>
      <c r="C3" s="232" t="s">
        <v>7</v>
      </c>
      <c r="D3" s="374"/>
      <c r="E3" s="474" t="s">
        <v>7</v>
      </c>
      <c r="F3" s="475" t="s">
        <v>6</v>
      </c>
      <c r="G3" s="476" t="s">
        <v>4</v>
      </c>
      <c r="H3" s="477" t="s">
        <v>1116</v>
      </c>
      <c r="I3" s="478" t="s">
        <v>1117</v>
      </c>
      <c r="K3" s="192" t="s">
        <v>846</v>
      </c>
      <c r="L3" s="193" t="s">
        <v>506</v>
      </c>
      <c r="M3" s="194" t="s">
        <v>301</v>
      </c>
      <c r="O3" s="184"/>
      <c r="P3" s="153" t="s">
        <v>550</v>
      </c>
      <c r="R3" s="525" t="s">
        <v>6</v>
      </c>
      <c r="S3" s="526" t="s">
        <v>1026</v>
      </c>
      <c r="T3" s="526" t="s">
        <v>192</v>
      </c>
      <c r="U3" s="526" t="s">
        <v>231</v>
      </c>
      <c r="V3" s="526" t="s">
        <v>984</v>
      </c>
      <c r="W3" s="526" t="s">
        <v>70</v>
      </c>
      <c r="X3" s="526" t="s">
        <v>177</v>
      </c>
      <c r="Y3" s="526" t="s">
        <v>993</v>
      </c>
      <c r="Z3" s="526" t="s">
        <v>103</v>
      </c>
      <c r="AA3" s="526" t="s">
        <v>1100</v>
      </c>
      <c r="AB3" s="527" t="s">
        <v>201</v>
      </c>
      <c r="AD3" s="525" t="s">
        <v>7</v>
      </c>
      <c r="AE3" s="526" t="s">
        <v>1033</v>
      </c>
      <c r="AF3" s="526" t="s">
        <v>223</v>
      </c>
      <c r="AG3" s="526" t="s">
        <v>231</v>
      </c>
      <c r="AH3" s="526" t="s">
        <v>68</v>
      </c>
      <c r="AI3" s="526" t="s">
        <v>929</v>
      </c>
      <c r="AJ3" s="526" t="s">
        <v>214</v>
      </c>
      <c r="AK3" s="526" t="s">
        <v>96</v>
      </c>
      <c r="AL3" s="526" t="s">
        <v>105</v>
      </c>
      <c r="AM3" s="526" t="s">
        <v>997</v>
      </c>
      <c r="AN3" s="527" t="s">
        <v>986</v>
      </c>
    </row>
    <row r="4" spans="1:40" ht="20.100000000000001" customHeight="1" thickBot="1">
      <c r="A4" s="230" t="s">
        <v>8</v>
      </c>
      <c r="B4" s="257" t="s">
        <v>4</v>
      </c>
      <c r="C4" s="231" t="s">
        <v>7</v>
      </c>
      <c r="D4" s="19"/>
      <c r="E4" s="479" t="s">
        <v>7</v>
      </c>
      <c r="F4" s="480" t="s">
        <v>8</v>
      </c>
      <c r="G4" s="481" t="s">
        <v>4</v>
      </c>
      <c r="H4" s="482" t="s">
        <v>1118</v>
      </c>
      <c r="I4" s="483" t="s">
        <v>1119</v>
      </c>
      <c r="K4" s="195" t="s">
        <v>302</v>
      </c>
      <c r="L4" s="196" t="s">
        <v>507</v>
      </c>
      <c r="M4" s="197" t="s">
        <v>847</v>
      </c>
      <c r="O4" s="184"/>
      <c r="P4" s="154" t="s">
        <v>551</v>
      </c>
      <c r="R4" s="528" t="s">
        <v>8</v>
      </c>
      <c r="S4" s="529" t="s">
        <v>1027</v>
      </c>
      <c r="T4" s="529" t="s">
        <v>224</v>
      </c>
      <c r="U4" s="529" t="s">
        <v>29</v>
      </c>
      <c r="V4" s="529" t="s">
        <v>985</v>
      </c>
      <c r="W4" s="529" t="s">
        <v>72</v>
      </c>
      <c r="X4" s="529" t="s">
        <v>215</v>
      </c>
      <c r="Y4" s="529" t="s">
        <v>831</v>
      </c>
      <c r="Z4" s="529" t="s">
        <v>822</v>
      </c>
      <c r="AA4" s="529" t="s">
        <v>998</v>
      </c>
      <c r="AB4" s="530" t="s">
        <v>925</v>
      </c>
      <c r="AD4" s="528" t="s">
        <v>194</v>
      </c>
      <c r="AE4" s="529" t="s">
        <v>11</v>
      </c>
      <c r="AF4" s="529" t="s">
        <v>995</v>
      </c>
      <c r="AG4" s="529" t="s">
        <v>195</v>
      </c>
      <c r="AH4" s="529"/>
      <c r="AI4" s="529" t="s">
        <v>930</v>
      </c>
      <c r="AJ4" s="529" t="s">
        <v>216</v>
      </c>
      <c r="AK4" s="529" t="s">
        <v>94</v>
      </c>
      <c r="AL4" s="529" t="s">
        <v>1097</v>
      </c>
      <c r="AM4" s="529" t="s">
        <v>999</v>
      </c>
      <c r="AN4" s="530" t="s">
        <v>1099</v>
      </c>
    </row>
    <row r="5" spans="1:40" ht="20.100000000000001" customHeight="1">
      <c r="A5" s="141" t="s">
        <v>898</v>
      </c>
      <c r="B5" s="258" t="s">
        <v>4</v>
      </c>
      <c r="C5" s="233" t="s">
        <v>194</v>
      </c>
      <c r="D5" s="19"/>
      <c r="E5" s="474" t="s">
        <v>194</v>
      </c>
      <c r="F5" s="475" t="s">
        <v>898</v>
      </c>
      <c r="G5" s="476" t="s">
        <v>4</v>
      </c>
      <c r="H5" s="477" t="s">
        <v>1120</v>
      </c>
      <c r="I5" s="478" t="s">
        <v>1121</v>
      </c>
      <c r="K5" s="195" t="s">
        <v>303</v>
      </c>
      <c r="L5" s="196" t="s">
        <v>506</v>
      </c>
      <c r="M5" s="197" t="s">
        <v>848</v>
      </c>
      <c r="O5" s="184"/>
      <c r="P5" s="155" t="s">
        <v>552</v>
      </c>
      <c r="R5" s="528" t="s">
        <v>898</v>
      </c>
      <c r="S5" s="529" t="s">
        <v>1028</v>
      </c>
      <c r="T5" s="529" t="s">
        <v>909</v>
      </c>
      <c r="U5" s="529" t="s">
        <v>186</v>
      </c>
      <c r="V5" s="529" t="s">
        <v>903</v>
      </c>
      <c r="W5" s="529" t="s">
        <v>73</v>
      </c>
      <c r="X5" s="529" t="s">
        <v>87</v>
      </c>
      <c r="Y5" s="529" t="s">
        <v>97</v>
      </c>
      <c r="Z5" s="529" t="s">
        <v>823</v>
      </c>
      <c r="AA5" s="529" t="s">
        <v>1101</v>
      </c>
      <c r="AB5" s="530" t="s">
        <v>220</v>
      </c>
      <c r="AD5" s="528" t="s">
        <v>913</v>
      </c>
      <c r="AE5" s="529" t="s">
        <v>16</v>
      </c>
      <c r="AF5" s="529" t="s">
        <v>1008</v>
      </c>
      <c r="AG5" s="529" t="s">
        <v>23</v>
      </c>
      <c r="AH5" s="529"/>
      <c r="AI5" s="529" t="s">
        <v>931</v>
      </c>
      <c r="AJ5" s="529" t="s">
        <v>1113</v>
      </c>
      <c r="AK5" s="529" t="s">
        <v>228</v>
      </c>
      <c r="AL5" s="529" t="s">
        <v>931</v>
      </c>
      <c r="AM5" s="529" t="s">
        <v>932</v>
      </c>
      <c r="AN5" s="530" t="s">
        <v>107</v>
      </c>
    </row>
    <row r="6" spans="1:40" ht="20.100000000000001" customHeight="1" thickBot="1">
      <c r="A6" s="142" t="s">
        <v>899</v>
      </c>
      <c r="B6" s="259" t="s">
        <v>4</v>
      </c>
      <c r="C6" s="234" t="s">
        <v>194</v>
      </c>
      <c r="D6" s="19"/>
      <c r="E6" s="479" t="s">
        <v>194</v>
      </c>
      <c r="F6" s="480" t="s">
        <v>899</v>
      </c>
      <c r="G6" s="481" t="s">
        <v>4</v>
      </c>
      <c r="H6" s="482" t="s">
        <v>1122</v>
      </c>
      <c r="I6" s="483" t="s">
        <v>1123</v>
      </c>
      <c r="K6" s="198" t="s">
        <v>304</v>
      </c>
      <c r="L6" s="199" t="s">
        <v>507</v>
      </c>
      <c r="M6" s="200" t="s">
        <v>849</v>
      </c>
      <c r="O6" s="184" t="s">
        <v>548</v>
      </c>
      <c r="P6" s="156" t="s">
        <v>549</v>
      </c>
      <c r="R6" s="528" t="s">
        <v>899</v>
      </c>
      <c r="S6" s="529" t="s">
        <v>1029</v>
      </c>
      <c r="T6" s="529" t="s">
        <v>222</v>
      </c>
      <c r="U6" s="529" t="s">
        <v>187</v>
      </c>
      <c r="V6" s="529" t="s">
        <v>217</v>
      </c>
      <c r="W6" s="529" t="s">
        <v>218</v>
      </c>
      <c r="X6" s="529" t="s">
        <v>88</v>
      </c>
      <c r="Y6" s="529" t="s">
        <v>204</v>
      </c>
      <c r="Z6" s="529" t="s">
        <v>826</v>
      </c>
      <c r="AA6" s="529" t="s">
        <v>1102</v>
      </c>
      <c r="AB6" s="530" t="s">
        <v>1099</v>
      </c>
      <c r="AD6" s="528" t="s">
        <v>5</v>
      </c>
      <c r="AE6" s="529" t="s">
        <v>196</v>
      </c>
      <c r="AF6" s="529" t="s">
        <v>272</v>
      </c>
      <c r="AG6" s="529" t="s">
        <v>907</v>
      </c>
      <c r="AH6" s="529"/>
      <c r="AI6" s="529" t="s">
        <v>1111</v>
      </c>
      <c r="AJ6" s="529"/>
      <c r="AK6" s="529" t="s">
        <v>1115</v>
      </c>
      <c r="AL6" s="529" t="s">
        <v>1113</v>
      </c>
      <c r="AM6" s="529"/>
      <c r="AN6" s="530" t="s">
        <v>990</v>
      </c>
    </row>
    <row r="7" spans="1:40" ht="20.100000000000001" customHeight="1" thickBot="1">
      <c r="A7" s="237" t="s">
        <v>231</v>
      </c>
      <c r="B7" s="260" t="s">
        <v>22</v>
      </c>
      <c r="C7" s="238" t="s">
        <v>231</v>
      </c>
      <c r="D7" s="19"/>
      <c r="E7" s="484" t="s">
        <v>231</v>
      </c>
      <c r="F7" s="485" t="s">
        <v>231</v>
      </c>
      <c r="G7" s="486" t="s">
        <v>22</v>
      </c>
      <c r="H7" s="487" t="s">
        <v>1124</v>
      </c>
      <c r="I7" s="488" t="s">
        <v>1125</v>
      </c>
      <c r="K7" s="192" t="s">
        <v>305</v>
      </c>
      <c r="L7" s="193" t="s">
        <v>508</v>
      </c>
      <c r="M7" s="194" t="s">
        <v>306</v>
      </c>
      <c r="O7" s="184" t="s">
        <v>603</v>
      </c>
      <c r="P7" s="156" t="s">
        <v>679</v>
      </c>
      <c r="R7" s="528" t="s">
        <v>913</v>
      </c>
      <c r="S7" s="529" t="s">
        <v>10</v>
      </c>
      <c r="T7" s="529" t="s">
        <v>829</v>
      </c>
      <c r="U7" s="529" t="s">
        <v>198</v>
      </c>
      <c r="V7" s="529" t="s">
        <v>904</v>
      </c>
      <c r="W7" s="529" t="s">
        <v>202</v>
      </c>
      <c r="X7" s="529" t="s">
        <v>263</v>
      </c>
      <c r="Y7" s="529" t="s">
        <v>98</v>
      </c>
      <c r="Z7" s="529" t="s">
        <v>827</v>
      </c>
      <c r="AA7" s="529" t="s">
        <v>1002</v>
      </c>
      <c r="AB7" s="530" t="s">
        <v>182</v>
      </c>
      <c r="AD7" s="528"/>
      <c r="AE7" s="529" t="s">
        <v>1032</v>
      </c>
      <c r="AF7" s="529"/>
      <c r="AG7" s="529" t="s">
        <v>197</v>
      </c>
      <c r="AH7" s="529"/>
      <c r="AI7" s="529"/>
      <c r="AJ7" s="529"/>
      <c r="AK7" s="529" t="s">
        <v>912</v>
      </c>
      <c r="AL7" s="529" t="s">
        <v>1114</v>
      </c>
      <c r="AM7" s="529"/>
      <c r="AN7" s="530"/>
    </row>
    <row r="8" spans="1:40" ht="20.100000000000001" customHeight="1">
      <c r="A8" s="141" t="s">
        <v>1026</v>
      </c>
      <c r="B8" s="258" t="s">
        <v>9</v>
      </c>
      <c r="C8" s="233" t="s">
        <v>1033</v>
      </c>
      <c r="D8" s="19"/>
      <c r="E8" s="474" t="s">
        <v>1033</v>
      </c>
      <c r="F8" s="475" t="s">
        <v>1026</v>
      </c>
      <c r="G8" s="476" t="s">
        <v>9</v>
      </c>
      <c r="H8" s="477" t="s">
        <v>1126</v>
      </c>
      <c r="I8" s="478" t="s">
        <v>1127</v>
      </c>
      <c r="K8" s="195" t="s">
        <v>307</v>
      </c>
      <c r="L8" s="196" t="s">
        <v>508</v>
      </c>
      <c r="M8" s="197" t="s">
        <v>308</v>
      </c>
      <c r="O8" s="184" t="s">
        <v>604</v>
      </c>
      <c r="P8" s="156" t="s">
        <v>776</v>
      </c>
      <c r="R8" s="528" t="s">
        <v>232</v>
      </c>
      <c r="S8" s="529" t="s">
        <v>900</v>
      </c>
      <c r="T8" s="529" t="s">
        <v>262</v>
      </c>
      <c r="U8" s="529" t="s">
        <v>901</v>
      </c>
      <c r="V8" s="529" t="s">
        <v>69</v>
      </c>
      <c r="W8" s="529" t="s">
        <v>74</v>
      </c>
      <c r="X8" s="529" t="s">
        <v>982</v>
      </c>
      <c r="Y8" s="529" t="s">
        <v>225</v>
      </c>
      <c r="Z8" s="529" t="s">
        <v>1093</v>
      </c>
      <c r="AA8" s="529" t="s">
        <v>1000</v>
      </c>
      <c r="AB8" s="530" t="s">
        <v>987</v>
      </c>
      <c r="AD8" s="528"/>
      <c r="AE8" s="529"/>
      <c r="AF8" s="529"/>
      <c r="AG8" s="529" t="s">
        <v>1112</v>
      </c>
      <c r="AH8" s="529"/>
      <c r="AI8" s="529"/>
      <c r="AJ8" s="529"/>
      <c r="AK8" s="529"/>
      <c r="AL8" s="529"/>
      <c r="AM8" s="529"/>
      <c r="AN8" s="530"/>
    </row>
    <row r="9" spans="1:40" ht="20.100000000000001" customHeight="1">
      <c r="A9" s="143" t="s">
        <v>1027</v>
      </c>
      <c r="B9" s="261" t="s">
        <v>9</v>
      </c>
      <c r="C9" s="226" t="s">
        <v>1033</v>
      </c>
      <c r="D9" s="19"/>
      <c r="E9" s="489" t="s">
        <v>1033</v>
      </c>
      <c r="F9" s="490" t="s">
        <v>1027</v>
      </c>
      <c r="G9" s="491" t="s">
        <v>9</v>
      </c>
      <c r="H9" s="492" t="s">
        <v>1128</v>
      </c>
      <c r="I9" s="493" t="s">
        <v>1129</v>
      </c>
      <c r="K9" s="195" t="s">
        <v>309</v>
      </c>
      <c r="L9" s="196" t="s">
        <v>508</v>
      </c>
      <c r="M9" s="197" t="s">
        <v>310</v>
      </c>
      <c r="O9" s="184" t="s">
        <v>605</v>
      </c>
      <c r="P9" s="156" t="s">
        <v>680</v>
      </c>
      <c r="R9" s="528" t="s">
        <v>21</v>
      </c>
      <c r="S9" s="529" t="s">
        <v>12</v>
      </c>
      <c r="T9" s="529" t="s">
        <v>996</v>
      </c>
      <c r="U9" s="529" t="s">
        <v>979</v>
      </c>
      <c r="V9" s="529" t="s">
        <v>905</v>
      </c>
      <c r="W9" s="529" t="s">
        <v>75</v>
      </c>
      <c r="X9" s="529" t="s">
        <v>980</v>
      </c>
      <c r="Y9" s="529" t="s">
        <v>95</v>
      </c>
      <c r="Z9" s="529" t="s">
        <v>828</v>
      </c>
      <c r="AA9" s="529" t="s">
        <v>1001</v>
      </c>
      <c r="AB9" s="530" t="s">
        <v>108</v>
      </c>
      <c r="AD9" s="528"/>
      <c r="AE9" s="529"/>
      <c r="AF9" s="529"/>
      <c r="AG9" s="529" t="s">
        <v>838</v>
      </c>
      <c r="AH9" s="529"/>
      <c r="AI9" s="529"/>
      <c r="AJ9" s="529"/>
      <c r="AK9" s="529"/>
      <c r="AL9" s="529"/>
      <c r="AM9" s="529"/>
      <c r="AN9" s="530"/>
    </row>
    <row r="10" spans="1:40" ht="20.100000000000001" customHeight="1">
      <c r="A10" s="143" t="s">
        <v>1028</v>
      </c>
      <c r="B10" s="261" t="s">
        <v>9</v>
      </c>
      <c r="C10" s="226" t="s">
        <v>1033</v>
      </c>
      <c r="D10" s="19"/>
      <c r="E10" s="489" t="s">
        <v>1033</v>
      </c>
      <c r="F10" s="490" t="s">
        <v>1028</v>
      </c>
      <c r="G10" s="491" t="s">
        <v>9</v>
      </c>
      <c r="H10" s="492" t="s">
        <v>1130</v>
      </c>
      <c r="I10" s="493" t="s">
        <v>1131</v>
      </c>
      <c r="K10" s="195" t="s">
        <v>311</v>
      </c>
      <c r="L10" s="196" t="s">
        <v>508</v>
      </c>
      <c r="M10" s="197" t="s">
        <v>958</v>
      </c>
      <c r="O10" s="184" t="s">
        <v>777</v>
      </c>
      <c r="P10" s="156" t="s">
        <v>778</v>
      </c>
      <c r="R10" s="528" t="s">
        <v>25</v>
      </c>
      <c r="S10" s="529" t="s">
        <v>211</v>
      </c>
      <c r="T10" s="529" t="s">
        <v>914</v>
      </c>
      <c r="U10" s="529" t="s">
        <v>21</v>
      </c>
      <c r="V10" s="529" t="s">
        <v>171</v>
      </c>
      <c r="W10" s="529" t="s">
        <v>76</v>
      </c>
      <c r="X10" s="529" t="s">
        <v>981</v>
      </c>
      <c r="Y10" s="529" t="s">
        <v>994</v>
      </c>
      <c r="Z10" s="529" t="s">
        <v>775</v>
      </c>
      <c r="AA10" s="529" t="s">
        <v>920</v>
      </c>
      <c r="AB10" s="530" t="s">
        <v>221</v>
      </c>
      <c r="AD10" s="528"/>
      <c r="AE10" s="529"/>
      <c r="AF10" s="529"/>
      <c r="AG10" s="529" t="s">
        <v>841</v>
      </c>
      <c r="AH10" s="529"/>
      <c r="AI10" s="529"/>
      <c r="AJ10" s="529"/>
      <c r="AK10" s="529"/>
      <c r="AL10" s="529"/>
      <c r="AM10" s="529"/>
      <c r="AN10" s="530"/>
    </row>
    <row r="11" spans="1:40" ht="20.100000000000001" customHeight="1" thickBot="1">
      <c r="A11" s="142" t="s">
        <v>1029</v>
      </c>
      <c r="B11" s="259" t="s">
        <v>9</v>
      </c>
      <c r="C11" s="234" t="s">
        <v>1033</v>
      </c>
      <c r="D11" s="19"/>
      <c r="E11" s="479" t="s">
        <v>1033</v>
      </c>
      <c r="F11" s="480" t="s">
        <v>1029</v>
      </c>
      <c r="G11" s="481" t="s">
        <v>9</v>
      </c>
      <c r="H11" s="482" t="s">
        <v>1132</v>
      </c>
      <c r="I11" s="483" t="s">
        <v>1133</v>
      </c>
      <c r="K11" s="198" t="s">
        <v>312</v>
      </c>
      <c r="L11" s="199" t="s">
        <v>508</v>
      </c>
      <c r="M11" s="200" t="s">
        <v>957</v>
      </c>
      <c r="O11" s="184" t="s">
        <v>606</v>
      </c>
      <c r="P11" s="156" t="s">
        <v>681</v>
      </c>
      <c r="R11" s="528" t="s">
        <v>1105</v>
      </c>
      <c r="S11" s="529" t="s">
        <v>212</v>
      </c>
      <c r="T11" s="529" t="s">
        <v>830</v>
      </c>
      <c r="U11" s="529" t="s">
        <v>24</v>
      </c>
      <c r="V11" s="529" t="s">
        <v>1098</v>
      </c>
      <c r="W11" s="529" t="s">
        <v>77</v>
      </c>
      <c r="X11" s="529" t="s">
        <v>89</v>
      </c>
      <c r="Y11" s="529" t="s">
        <v>226</v>
      </c>
      <c r="Z11" s="529" t="s">
        <v>902</v>
      </c>
      <c r="AA11" s="529" t="s">
        <v>921</v>
      </c>
      <c r="AB11" s="530" t="s">
        <v>906</v>
      </c>
      <c r="AD11" s="528"/>
      <c r="AE11" s="529"/>
      <c r="AF11" s="529"/>
      <c r="AG11" s="529"/>
      <c r="AH11" s="529"/>
      <c r="AI11" s="529"/>
      <c r="AJ11" s="529"/>
      <c r="AK11" s="529"/>
      <c r="AL11" s="529"/>
      <c r="AM11" s="529"/>
      <c r="AN11" s="530"/>
    </row>
    <row r="12" spans="1:40" ht="20.100000000000001" customHeight="1">
      <c r="A12" s="141" t="s">
        <v>10</v>
      </c>
      <c r="B12" s="258" t="s">
        <v>9</v>
      </c>
      <c r="C12" s="233" t="s">
        <v>11</v>
      </c>
      <c r="D12" s="19"/>
      <c r="E12" s="489" t="s">
        <v>11</v>
      </c>
      <c r="F12" s="490" t="s">
        <v>10</v>
      </c>
      <c r="G12" s="491" t="s">
        <v>9</v>
      </c>
      <c r="H12" s="492" t="s">
        <v>1134</v>
      </c>
      <c r="I12" s="493" t="s">
        <v>1135</v>
      </c>
      <c r="K12" s="192" t="s">
        <v>850</v>
      </c>
      <c r="L12" s="193" t="s">
        <v>509</v>
      </c>
      <c r="M12" s="194" t="s">
        <v>313</v>
      </c>
      <c r="O12" s="184" t="s">
        <v>607</v>
      </c>
      <c r="P12" s="156" t="s">
        <v>682</v>
      </c>
      <c r="R12" s="528" t="s">
        <v>1106</v>
      </c>
      <c r="S12" s="529" t="s">
        <v>13</v>
      </c>
      <c r="T12" s="529" t="s">
        <v>915</v>
      </c>
      <c r="U12" s="529" t="s">
        <v>25</v>
      </c>
      <c r="V12" s="529"/>
      <c r="W12" s="529" t="s">
        <v>910</v>
      </c>
      <c r="X12" s="529" t="s">
        <v>983</v>
      </c>
      <c r="Y12" s="529" t="s">
        <v>193</v>
      </c>
      <c r="Z12" s="529" t="s">
        <v>824</v>
      </c>
      <c r="AA12" s="529" t="s">
        <v>922</v>
      </c>
      <c r="AB12" s="530" t="s">
        <v>109</v>
      </c>
      <c r="AD12" s="528"/>
      <c r="AE12" s="529"/>
      <c r="AF12" s="529"/>
      <c r="AG12" s="529"/>
      <c r="AH12" s="529"/>
      <c r="AI12" s="529"/>
      <c r="AJ12" s="529"/>
      <c r="AK12" s="529"/>
      <c r="AL12" s="529"/>
      <c r="AM12" s="529"/>
      <c r="AN12" s="530"/>
    </row>
    <row r="13" spans="1:40" ht="20.100000000000001" customHeight="1">
      <c r="A13" s="143" t="s">
        <v>900</v>
      </c>
      <c r="B13" s="261" t="s">
        <v>9</v>
      </c>
      <c r="C13" s="226" t="s">
        <v>11</v>
      </c>
      <c r="D13" s="19"/>
      <c r="E13" s="499" t="s">
        <v>11</v>
      </c>
      <c r="F13" s="500" t="s">
        <v>900</v>
      </c>
      <c r="G13" s="501" t="s">
        <v>9</v>
      </c>
      <c r="H13" s="519" t="s">
        <v>1136</v>
      </c>
      <c r="I13" s="520" t="s">
        <v>1137</v>
      </c>
      <c r="K13" s="195" t="s">
        <v>314</v>
      </c>
      <c r="L13" s="196" t="s">
        <v>509</v>
      </c>
      <c r="M13" s="197" t="s">
        <v>315</v>
      </c>
      <c r="O13" s="184" t="s">
        <v>608</v>
      </c>
      <c r="P13" s="156" t="s">
        <v>779</v>
      </c>
      <c r="R13" s="528" t="s">
        <v>1107</v>
      </c>
      <c r="S13" s="529" t="s">
        <v>14</v>
      </c>
      <c r="T13" s="529" t="s">
        <v>1007</v>
      </c>
      <c r="U13" s="529" t="s">
        <v>199</v>
      </c>
      <c r="V13" s="529"/>
      <c r="W13" s="529" t="s">
        <v>911</v>
      </c>
      <c r="X13" s="529" t="s">
        <v>264</v>
      </c>
      <c r="Y13" s="529" t="s">
        <v>227</v>
      </c>
      <c r="Z13" s="529" t="s">
        <v>825</v>
      </c>
      <c r="AA13" s="529" t="s">
        <v>923</v>
      </c>
      <c r="AB13" s="530" t="s">
        <v>991</v>
      </c>
      <c r="AD13" s="528"/>
      <c r="AE13" s="529"/>
      <c r="AF13" s="529"/>
      <c r="AG13" s="529"/>
      <c r="AH13" s="529"/>
      <c r="AI13" s="529"/>
      <c r="AJ13" s="529"/>
      <c r="AK13" s="529"/>
      <c r="AL13" s="529"/>
      <c r="AM13" s="529"/>
      <c r="AN13" s="530"/>
    </row>
    <row r="14" spans="1:40" ht="20.100000000000001" customHeight="1">
      <c r="A14" s="143" t="s">
        <v>12</v>
      </c>
      <c r="B14" s="261" t="s">
        <v>9</v>
      </c>
      <c r="C14" s="226" t="s">
        <v>11</v>
      </c>
      <c r="D14" s="19"/>
      <c r="E14" s="489" t="s">
        <v>11</v>
      </c>
      <c r="F14" s="490" t="s">
        <v>12</v>
      </c>
      <c r="G14" s="491" t="s">
        <v>9</v>
      </c>
      <c r="H14" s="492" t="s">
        <v>1138</v>
      </c>
      <c r="I14" s="493" t="s">
        <v>1139</v>
      </c>
      <c r="K14" s="195" t="s">
        <v>316</v>
      </c>
      <c r="L14" s="196" t="s">
        <v>509</v>
      </c>
      <c r="M14" s="197" t="s">
        <v>317</v>
      </c>
      <c r="O14" s="184" t="s">
        <v>609</v>
      </c>
      <c r="P14" s="156" t="s">
        <v>780</v>
      </c>
      <c r="R14" s="528" t="s">
        <v>1108</v>
      </c>
      <c r="S14" s="529" t="s">
        <v>15</v>
      </c>
      <c r="T14" s="529" t="s">
        <v>926</v>
      </c>
      <c r="U14" s="529" t="s">
        <v>26</v>
      </c>
      <c r="V14" s="529"/>
      <c r="W14" s="529" t="s">
        <v>172</v>
      </c>
      <c r="X14" s="529" t="s">
        <v>90</v>
      </c>
      <c r="Y14" s="529" t="s">
        <v>93</v>
      </c>
      <c r="Z14" s="529" t="s">
        <v>1094</v>
      </c>
      <c r="AA14" s="529" t="s">
        <v>924</v>
      </c>
      <c r="AB14" s="530" t="s">
        <v>992</v>
      </c>
      <c r="AD14" s="528"/>
      <c r="AE14" s="529"/>
      <c r="AF14" s="529"/>
      <c r="AG14" s="529"/>
      <c r="AH14" s="529"/>
      <c r="AI14" s="529"/>
      <c r="AJ14" s="529"/>
      <c r="AK14" s="529"/>
      <c r="AL14" s="529"/>
      <c r="AM14" s="529"/>
      <c r="AN14" s="530"/>
    </row>
    <row r="15" spans="1:40" ht="20.100000000000001" customHeight="1">
      <c r="A15" s="143" t="s">
        <v>211</v>
      </c>
      <c r="B15" s="261" t="s">
        <v>9</v>
      </c>
      <c r="C15" s="226" t="s">
        <v>11</v>
      </c>
      <c r="D15" s="19"/>
      <c r="E15" s="489" t="s">
        <v>11</v>
      </c>
      <c r="F15" s="490" t="s">
        <v>211</v>
      </c>
      <c r="G15" s="491" t="s">
        <v>9</v>
      </c>
      <c r="H15" s="492" t="s">
        <v>1140</v>
      </c>
      <c r="I15" s="493" t="s">
        <v>1141</v>
      </c>
      <c r="K15" s="195" t="s">
        <v>318</v>
      </c>
      <c r="L15" s="196" t="s">
        <v>509</v>
      </c>
      <c r="M15" s="197" t="s">
        <v>319</v>
      </c>
      <c r="O15" s="184"/>
      <c r="P15" s="155" t="s">
        <v>553</v>
      </c>
      <c r="R15" s="528" t="s">
        <v>1109</v>
      </c>
      <c r="S15" s="529" t="s">
        <v>17</v>
      </c>
      <c r="T15" s="529" t="s">
        <v>927</v>
      </c>
      <c r="U15" s="529" t="s">
        <v>200</v>
      </c>
      <c r="V15" s="529"/>
      <c r="W15" s="529" t="s">
        <v>173</v>
      </c>
      <c r="X15" s="529" t="s">
        <v>1030</v>
      </c>
      <c r="Y15" s="529" t="s">
        <v>229</v>
      </c>
      <c r="Z15" s="529" t="s">
        <v>916</v>
      </c>
      <c r="AA15" s="529"/>
      <c r="AB15" s="530"/>
      <c r="AD15" s="528"/>
      <c r="AE15" s="529"/>
      <c r="AF15" s="529"/>
      <c r="AG15" s="529"/>
      <c r="AH15" s="529"/>
      <c r="AI15" s="529"/>
      <c r="AJ15" s="529"/>
      <c r="AK15" s="529"/>
      <c r="AL15" s="529"/>
      <c r="AM15" s="529"/>
      <c r="AN15" s="530"/>
    </row>
    <row r="16" spans="1:40" ht="20.100000000000001" customHeight="1" thickBot="1">
      <c r="A16" s="143" t="s">
        <v>212</v>
      </c>
      <c r="B16" s="261" t="s">
        <v>9</v>
      </c>
      <c r="C16" s="226" t="s">
        <v>11</v>
      </c>
      <c r="D16" s="19"/>
      <c r="E16" s="489" t="s">
        <v>11</v>
      </c>
      <c r="F16" s="490" t="s">
        <v>212</v>
      </c>
      <c r="G16" s="491" t="s">
        <v>9</v>
      </c>
      <c r="H16" s="492" t="s">
        <v>1142</v>
      </c>
      <c r="I16" s="493" t="s">
        <v>1143</v>
      </c>
      <c r="K16" s="198" t="s">
        <v>320</v>
      </c>
      <c r="L16" s="199" t="s">
        <v>509</v>
      </c>
      <c r="M16" s="200" t="s">
        <v>321</v>
      </c>
      <c r="O16" s="184" t="s">
        <v>781</v>
      </c>
      <c r="P16" s="156" t="s">
        <v>683</v>
      </c>
      <c r="R16" s="528" t="s">
        <v>1110</v>
      </c>
      <c r="S16" s="529" t="s">
        <v>65</v>
      </c>
      <c r="T16" s="529" t="s">
        <v>208</v>
      </c>
      <c r="U16" s="529" t="s">
        <v>27</v>
      </c>
      <c r="V16" s="529"/>
      <c r="W16" s="529" t="s">
        <v>174</v>
      </c>
      <c r="X16" s="529" t="s">
        <v>188</v>
      </c>
      <c r="Y16" s="529" t="s">
        <v>230</v>
      </c>
      <c r="Z16" s="529" t="s">
        <v>1003</v>
      </c>
      <c r="AA16" s="529"/>
      <c r="AB16" s="530"/>
      <c r="AD16" s="528"/>
      <c r="AE16" s="529"/>
      <c r="AF16" s="529"/>
      <c r="AG16" s="529"/>
      <c r="AH16" s="529"/>
      <c r="AI16" s="529"/>
      <c r="AJ16" s="529"/>
      <c r="AK16" s="529"/>
      <c r="AL16" s="529"/>
      <c r="AM16" s="529"/>
      <c r="AN16" s="530"/>
    </row>
    <row r="17" spans="1:40" ht="20.100000000000001" customHeight="1">
      <c r="A17" s="143" t="s">
        <v>13</v>
      </c>
      <c r="B17" s="261" t="s">
        <v>9</v>
      </c>
      <c r="C17" s="226" t="s">
        <v>11</v>
      </c>
      <c r="D17" s="19"/>
      <c r="E17" s="489" t="s">
        <v>11</v>
      </c>
      <c r="F17" s="490" t="s">
        <v>13</v>
      </c>
      <c r="G17" s="491" t="s">
        <v>9</v>
      </c>
      <c r="H17" s="492" t="s">
        <v>1144</v>
      </c>
      <c r="I17" s="493" t="s">
        <v>1145</v>
      </c>
      <c r="K17" s="192" t="s">
        <v>322</v>
      </c>
      <c r="L17" s="193" t="s">
        <v>510</v>
      </c>
      <c r="M17" s="194" t="s">
        <v>323</v>
      </c>
      <c r="O17" s="184" t="s">
        <v>610</v>
      </c>
      <c r="P17" s="156" t="s">
        <v>782</v>
      </c>
      <c r="R17" s="528" t="s">
        <v>236</v>
      </c>
      <c r="S17" s="529" t="s">
        <v>203</v>
      </c>
      <c r="T17" s="529" t="s">
        <v>18</v>
      </c>
      <c r="U17" s="529" t="s">
        <v>213</v>
      </c>
      <c r="V17" s="529"/>
      <c r="W17" s="529" t="s">
        <v>918</v>
      </c>
      <c r="X17" s="529" t="s">
        <v>189</v>
      </c>
      <c r="Y17" s="529" t="s">
        <v>99</v>
      </c>
      <c r="Z17" s="529" t="s">
        <v>917</v>
      </c>
      <c r="AA17" s="529"/>
      <c r="AB17" s="530"/>
      <c r="AD17" s="528"/>
      <c r="AE17" s="529"/>
      <c r="AF17" s="529"/>
      <c r="AG17" s="529"/>
      <c r="AH17" s="529"/>
      <c r="AI17" s="529"/>
      <c r="AJ17" s="529"/>
      <c r="AK17" s="529"/>
      <c r="AL17" s="529"/>
      <c r="AM17" s="529"/>
      <c r="AN17" s="530"/>
    </row>
    <row r="18" spans="1:40" ht="20.100000000000001" customHeight="1" thickBot="1">
      <c r="A18" s="142" t="s">
        <v>14</v>
      </c>
      <c r="B18" s="259" t="s">
        <v>9</v>
      </c>
      <c r="C18" s="234" t="s">
        <v>11</v>
      </c>
      <c r="D18" s="19"/>
      <c r="E18" s="489" t="s">
        <v>11</v>
      </c>
      <c r="F18" s="490" t="s">
        <v>14</v>
      </c>
      <c r="G18" s="491" t="s">
        <v>9</v>
      </c>
      <c r="H18" s="492" t="s">
        <v>1146</v>
      </c>
      <c r="I18" s="493" t="s">
        <v>1147</v>
      </c>
      <c r="K18" s="195" t="s">
        <v>324</v>
      </c>
      <c r="L18" s="196" t="s">
        <v>510</v>
      </c>
      <c r="M18" s="197" t="s">
        <v>325</v>
      </c>
      <c r="O18" s="184"/>
      <c r="P18" s="153" t="s">
        <v>554</v>
      </c>
      <c r="R18" s="528"/>
      <c r="S18" s="529" t="s">
        <v>908</v>
      </c>
      <c r="T18" s="529" t="s">
        <v>19</v>
      </c>
      <c r="U18" s="529" t="s">
        <v>988</v>
      </c>
      <c r="V18" s="529"/>
      <c r="W18" s="529" t="s">
        <v>78</v>
      </c>
      <c r="X18" s="529" t="s">
        <v>209</v>
      </c>
      <c r="Y18" s="529" t="s">
        <v>100</v>
      </c>
      <c r="Z18" s="529" t="s">
        <v>1004</v>
      </c>
      <c r="AA18" s="529"/>
      <c r="AB18" s="530"/>
      <c r="AD18" s="528"/>
      <c r="AE18" s="529"/>
      <c r="AF18" s="529"/>
      <c r="AG18" s="529"/>
      <c r="AH18" s="529"/>
      <c r="AI18" s="529"/>
      <c r="AJ18" s="529"/>
      <c r="AK18" s="529"/>
      <c r="AL18" s="529"/>
      <c r="AM18" s="529"/>
      <c r="AN18" s="530"/>
    </row>
    <row r="19" spans="1:40" ht="20.100000000000001" customHeight="1" thickBot="1">
      <c r="A19" s="141" t="s">
        <v>29</v>
      </c>
      <c r="B19" s="258" t="s">
        <v>22</v>
      </c>
      <c r="C19" s="233" t="s">
        <v>195</v>
      </c>
      <c r="D19" s="19"/>
      <c r="E19" s="479" t="s">
        <v>195</v>
      </c>
      <c r="F19" s="480" t="s">
        <v>29</v>
      </c>
      <c r="G19" s="481" t="s">
        <v>22</v>
      </c>
      <c r="H19" s="492" t="s">
        <v>1148</v>
      </c>
      <c r="I19" s="483" t="s">
        <v>1149</v>
      </c>
      <c r="K19" s="201" t="s">
        <v>326</v>
      </c>
      <c r="L19" s="202" t="s">
        <v>510</v>
      </c>
      <c r="M19" s="203" t="s">
        <v>327</v>
      </c>
      <c r="O19" s="184"/>
      <c r="P19" s="154" t="s">
        <v>555</v>
      </c>
      <c r="R19" s="528"/>
      <c r="S19" s="529" t="s">
        <v>66</v>
      </c>
      <c r="T19" s="529" t="s">
        <v>20</v>
      </c>
      <c r="U19" s="529" t="s">
        <v>989</v>
      </c>
      <c r="V19" s="529"/>
      <c r="W19" s="529" t="s">
        <v>175</v>
      </c>
      <c r="X19" s="529" t="s">
        <v>91</v>
      </c>
      <c r="Y19" s="529" t="s">
        <v>101</v>
      </c>
      <c r="Z19" s="529" t="s">
        <v>1005</v>
      </c>
      <c r="AA19" s="529"/>
      <c r="AB19" s="530"/>
      <c r="AD19" s="528"/>
      <c r="AE19" s="529"/>
      <c r="AF19" s="529"/>
      <c r="AG19" s="529"/>
      <c r="AH19" s="529"/>
      <c r="AI19" s="529"/>
      <c r="AJ19" s="529"/>
      <c r="AK19" s="529"/>
      <c r="AL19" s="529"/>
      <c r="AM19" s="529"/>
      <c r="AN19" s="530"/>
    </row>
    <row r="20" spans="1:40" ht="20.100000000000001" customHeight="1" thickBot="1">
      <c r="A20" s="143" t="s">
        <v>186</v>
      </c>
      <c r="B20" s="261" t="s">
        <v>22</v>
      </c>
      <c r="C20" s="226" t="s">
        <v>195</v>
      </c>
      <c r="D20" s="19"/>
      <c r="E20" s="474" t="s">
        <v>195</v>
      </c>
      <c r="F20" s="475" t="s">
        <v>186</v>
      </c>
      <c r="G20" s="476" t="s">
        <v>22</v>
      </c>
      <c r="H20" s="477" t="s">
        <v>1150</v>
      </c>
      <c r="I20" s="478" t="s">
        <v>1151</v>
      </c>
      <c r="K20" s="204" t="s">
        <v>328</v>
      </c>
      <c r="L20" s="205" t="s">
        <v>510</v>
      </c>
      <c r="M20" s="206" t="s">
        <v>329</v>
      </c>
      <c r="O20" s="184"/>
      <c r="P20" s="155" t="s">
        <v>556</v>
      </c>
      <c r="R20" s="528"/>
      <c r="S20" s="529" t="s">
        <v>205</v>
      </c>
      <c r="T20" s="529"/>
      <c r="U20" s="529" t="s">
        <v>28</v>
      </c>
      <c r="V20" s="529"/>
      <c r="W20" s="529" t="s">
        <v>79</v>
      </c>
      <c r="X20" s="529"/>
      <c r="Y20" s="529" t="s">
        <v>102</v>
      </c>
      <c r="Z20" s="529" t="s">
        <v>1006</v>
      </c>
      <c r="AA20" s="529"/>
      <c r="AB20" s="530"/>
      <c r="AD20" s="528"/>
      <c r="AE20" s="529"/>
      <c r="AF20" s="529"/>
      <c r="AG20" s="529"/>
      <c r="AH20" s="529"/>
      <c r="AI20" s="529"/>
      <c r="AJ20" s="529"/>
      <c r="AK20" s="529"/>
      <c r="AL20" s="529"/>
      <c r="AM20" s="529"/>
      <c r="AN20" s="530"/>
    </row>
    <row r="21" spans="1:40" ht="20.100000000000001" customHeight="1">
      <c r="A21" s="143" t="s">
        <v>187</v>
      </c>
      <c r="B21" s="261" t="s">
        <v>22</v>
      </c>
      <c r="C21" s="226" t="s">
        <v>195</v>
      </c>
      <c r="D21" s="19"/>
      <c r="E21" s="489" t="s">
        <v>195</v>
      </c>
      <c r="F21" s="490" t="s">
        <v>187</v>
      </c>
      <c r="G21" s="491" t="s">
        <v>22</v>
      </c>
      <c r="H21" s="492" t="s">
        <v>1152</v>
      </c>
      <c r="I21" s="493" t="s">
        <v>1153</v>
      </c>
      <c r="K21" s="192" t="s">
        <v>330</v>
      </c>
      <c r="L21" s="193" t="s">
        <v>511</v>
      </c>
      <c r="M21" s="194" t="s">
        <v>331</v>
      </c>
      <c r="O21" s="184" t="s">
        <v>611</v>
      </c>
      <c r="P21" s="156" t="s">
        <v>684</v>
      </c>
      <c r="R21" s="528"/>
      <c r="S21" s="529" t="s">
        <v>206</v>
      </c>
      <c r="T21" s="529"/>
      <c r="U21" s="529" t="s">
        <v>1009</v>
      </c>
      <c r="V21" s="529"/>
      <c r="W21" s="529" t="s">
        <v>80</v>
      </c>
      <c r="X21" s="529"/>
      <c r="Y21" s="529" t="s">
        <v>912</v>
      </c>
      <c r="Z21" s="529" t="s">
        <v>106</v>
      </c>
      <c r="AA21" s="529"/>
      <c r="AB21" s="530"/>
      <c r="AD21" s="528"/>
      <c r="AE21" s="529"/>
      <c r="AF21" s="529"/>
      <c r="AG21" s="529"/>
      <c r="AH21" s="529"/>
      <c r="AI21" s="529"/>
      <c r="AJ21" s="529"/>
      <c r="AK21" s="529"/>
      <c r="AL21" s="529"/>
      <c r="AM21" s="529"/>
      <c r="AN21" s="530"/>
    </row>
    <row r="22" spans="1:40" ht="20.100000000000001" customHeight="1" thickBot="1">
      <c r="A22" s="143" t="s">
        <v>198</v>
      </c>
      <c r="B22" s="261" t="s">
        <v>22</v>
      </c>
      <c r="C22" s="226" t="s">
        <v>195</v>
      </c>
      <c r="D22" s="19"/>
      <c r="E22" s="489" t="s">
        <v>195</v>
      </c>
      <c r="F22" s="490" t="s">
        <v>198</v>
      </c>
      <c r="G22" s="491" t="s">
        <v>22</v>
      </c>
      <c r="H22" s="492" t="s">
        <v>1154</v>
      </c>
      <c r="I22" s="493" t="s">
        <v>1155</v>
      </c>
      <c r="K22" s="198" t="s">
        <v>332</v>
      </c>
      <c r="L22" s="199" t="s">
        <v>511</v>
      </c>
      <c r="M22" s="200" t="s">
        <v>333</v>
      </c>
      <c r="O22" s="184" t="s">
        <v>612</v>
      </c>
      <c r="P22" s="156" t="s">
        <v>685</v>
      </c>
      <c r="R22" s="528"/>
      <c r="S22" s="529" t="s">
        <v>207</v>
      </c>
      <c r="T22" s="529"/>
      <c r="U22" s="529" t="s">
        <v>233</v>
      </c>
      <c r="V22" s="529"/>
      <c r="W22" s="529" t="s">
        <v>81</v>
      </c>
      <c r="X22" s="529"/>
      <c r="Y22" s="529"/>
      <c r="Z22" s="529" t="s">
        <v>919</v>
      </c>
      <c r="AA22" s="529"/>
      <c r="AB22" s="530"/>
      <c r="AD22" s="528"/>
      <c r="AE22" s="529"/>
      <c r="AF22" s="529"/>
      <c r="AG22" s="529"/>
      <c r="AH22" s="529"/>
      <c r="AI22" s="529"/>
      <c r="AJ22" s="529"/>
      <c r="AK22" s="529"/>
      <c r="AL22" s="529"/>
      <c r="AM22" s="529"/>
      <c r="AN22" s="530"/>
    </row>
    <row r="23" spans="1:40" ht="20.100000000000001" customHeight="1">
      <c r="A23" s="143" t="s">
        <v>901</v>
      </c>
      <c r="B23" s="261" t="s">
        <v>22</v>
      </c>
      <c r="C23" s="226" t="s">
        <v>195</v>
      </c>
      <c r="D23" s="19"/>
      <c r="E23" s="489" t="s">
        <v>195</v>
      </c>
      <c r="F23" s="490" t="s">
        <v>901</v>
      </c>
      <c r="G23" s="491" t="s">
        <v>22</v>
      </c>
      <c r="H23" s="492" t="s">
        <v>1156</v>
      </c>
      <c r="I23" s="493" t="s">
        <v>1157</v>
      </c>
      <c r="K23" s="192" t="s">
        <v>334</v>
      </c>
      <c r="L23" s="193" t="s">
        <v>512</v>
      </c>
      <c r="M23" s="194" t="s">
        <v>335</v>
      </c>
      <c r="O23" s="184"/>
      <c r="P23" s="155" t="s">
        <v>557</v>
      </c>
      <c r="R23" s="528"/>
      <c r="S23" s="529" t="s">
        <v>1032</v>
      </c>
      <c r="T23" s="529"/>
      <c r="U23" s="529" t="s">
        <v>234</v>
      </c>
      <c r="V23" s="529"/>
      <c r="W23" s="529" t="s">
        <v>837</v>
      </c>
      <c r="X23" s="529"/>
      <c r="Y23" s="529"/>
      <c r="Z23" s="529" t="s">
        <v>1095</v>
      </c>
      <c r="AA23" s="529"/>
      <c r="AB23" s="530"/>
      <c r="AD23" s="528"/>
      <c r="AE23" s="529"/>
      <c r="AF23" s="529"/>
      <c r="AG23" s="529"/>
      <c r="AH23" s="529"/>
      <c r="AI23" s="529"/>
      <c r="AJ23" s="529"/>
      <c r="AK23" s="529"/>
      <c r="AL23" s="529"/>
      <c r="AM23" s="529"/>
      <c r="AN23" s="530"/>
    </row>
    <row r="24" spans="1:40" ht="20.100000000000001" customHeight="1" thickBot="1">
      <c r="A24" s="142" t="s">
        <v>979</v>
      </c>
      <c r="B24" s="259" t="s">
        <v>22</v>
      </c>
      <c r="C24" s="234" t="s">
        <v>195</v>
      </c>
      <c r="D24" s="19"/>
      <c r="E24" s="479" t="s">
        <v>195</v>
      </c>
      <c r="F24" s="480" t="s">
        <v>979</v>
      </c>
      <c r="G24" s="481" t="s">
        <v>22</v>
      </c>
      <c r="H24" s="482" t="s">
        <v>1158</v>
      </c>
      <c r="I24" s="483" t="s">
        <v>1159</v>
      </c>
      <c r="K24" s="195" t="s">
        <v>336</v>
      </c>
      <c r="L24" s="196" t="s">
        <v>512</v>
      </c>
      <c r="M24" s="197" t="s">
        <v>337</v>
      </c>
      <c r="O24" s="184" t="s">
        <v>613</v>
      </c>
      <c r="P24" s="156" t="s">
        <v>686</v>
      </c>
      <c r="R24" s="528"/>
      <c r="S24" s="529"/>
      <c r="T24" s="529"/>
      <c r="U24" s="529" t="s">
        <v>832</v>
      </c>
      <c r="V24" s="529"/>
      <c r="W24" s="529" t="s">
        <v>84</v>
      </c>
      <c r="X24" s="529"/>
      <c r="Y24" s="529"/>
      <c r="Z24" s="529" t="s">
        <v>190</v>
      </c>
      <c r="AA24" s="529"/>
      <c r="AB24" s="530"/>
      <c r="AD24" s="528"/>
      <c r="AE24" s="529"/>
      <c r="AF24" s="529"/>
      <c r="AG24" s="529"/>
      <c r="AH24" s="529"/>
      <c r="AI24" s="529"/>
      <c r="AJ24" s="529"/>
      <c r="AK24" s="529"/>
      <c r="AL24" s="529"/>
      <c r="AM24" s="529"/>
      <c r="AN24" s="530"/>
    </row>
    <row r="25" spans="1:40" ht="20.100000000000001" customHeight="1">
      <c r="A25" s="141" t="s">
        <v>103</v>
      </c>
      <c r="B25" s="258" t="s">
        <v>104</v>
      </c>
      <c r="C25" s="233" t="s">
        <v>105</v>
      </c>
      <c r="D25" s="19"/>
      <c r="E25" s="489" t="s">
        <v>105</v>
      </c>
      <c r="F25" s="490" t="s">
        <v>103</v>
      </c>
      <c r="G25" s="491" t="s">
        <v>104</v>
      </c>
      <c r="H25" s="492" t="s">
        <v>1160</v>
      </c>
      <c r="I25" s="493" t="s">
        <v>1161</v>
      </c>
      <c r="K25" s="195" t="s">
        <v>338</v>
      </c>
      <c r="L25" s="196" t="s">
        <v>512</v>
      </c>
      <c r="M25" s="197" t="s">
        <v>339</v>
      </c>
      <c r="O25" s="184" t="s">
        <v>614</v>
      </c>
      <c r="P25" s="156" t="s">
        <v>687</v>
      </c>
      <c r="R25" s="528"/>
      <c r="S25" s="529"/>
      <c r="T25" s="529"/>
      <c r="U25" s="529" t="s">
        <v>928</v>
      </c>
      <c r="V25" s="529"/>
      <c r="W25" s="529" t="s">
        <v>85</v>
      </c>
      <c r="X25" s="529"/>
      <c r="Y25" s="529"/>
      <c r="Z25" s="529" t="s">
        <v>1096</v>
      </c>
      <c r="AA25" s="529"/>
      <c r="AB25" s="530"/>
      <c r="AD25" s="528"/>
      <c r="AE25" s="529"/>
      <c r="AF25" s="529"/>
      <c r="AG25" s="529"/>
      <c r="AH25" s="529"/>
      <c r="AI25" s="529"/>
      <c r="AJ25" s="529"/>
      <c r="AK25" s="529"/>
      <c r="AL25" s="529"/>
      <c r="AM25" s="529"/>
      <c r="AN25" s="530"/>
    </row>
    <row r="26" spans="1:40" ht="20.100000000000001" customHeight="1">
      <c r="A26" s="307" t="s">
        <v>822</v>
      </c>
      <c r="B26" s="261" t="s">
        <v>104</v>
      </c>
      <c r="C26" s="226" t="s">
        <v>105</v>
      </c>
      <c r="D26" s="19"/>
      <c r="E26" s="489" t="s">
        <v>105</v>
      </c>
      <c r="F26" s="490" t="s">
        <v>822</v>
      </c>
      <c r="G26" s="491" t="s">
        <v>104</v>
      </c>
      <c r="H26" s="492" t="s">
        <v>1162</v>
      </c>
      <c r="I26" s="493" t="s">
        <v>1163</v>
      </c>
      <c r="K26" s="195" t="s">
        <v>340</v>
      </c>
      <c r="L26" s="196" t="s">
        <v>512</v>
      </c>
      <c r="M26" s="197" t="s">
        <v>341</v>
      </c>
      <c r="O26" s="184" t="s">
        <v>615</v>
      </c>
      <c r="P26" s="156" t="s">
        <v>688</v>
      </c>
      <c r="R26" s="528"/>
      <c r="S26" s="529"/>
      <c r="T26" s="529"/>
      <c r="U26" s="529" t="s">
        <v>833</v>
      </c>
      <c r="V26" s="529"/>
      <c r="W26" s="529" t="s">
        <v>176</v>
      </c>
      <c r="X26" s="529"/>
      <c r="Y26" s="529"/>
      <c r="Z26" s="529" t="s">
        <v>1607</v>
      </c>
      <c r="AA26" s="529"/>
      <c r="AB26" s="530"/>
      <c r="AD26" s="528"/>
      <c r="AE26" s="529"/>
      <c r="AF26" s="529"/>
      <c r="AG26" s="529"/>
      <c r="AH26" s="529"/>
      <c r="AI26" s="529"/>
      <c r="AJ26" s="529"/>
      <c r="AK26" s="529"/>
      <c r="AL26" s="529"/>
      <c r="AM26" s="529"/>
      <c r="AN26" s="530"/>
    </row>
    <row r="27" spans="1:40" ht="20.100000000000001" customHeight="1">
      <c r="A27" s="307" t="s">
        <v>823</v>
      </c>
      <c r="B27" s="261" t="s">
        <v>104</v>
      </c>
      <c r="C27" s="226" t="s">
        <v>105</v>
      </c>
      <c r="D27" s="19"/>
      <c r="E27" s="489" t="s">
        <v>105</v>
      </c>
      <c r="F27" s="490" t="s">
        <v>823</v>
      </c>
      <c r="G27" s="491" t="s">
        <v>104</v>
      </c>
      <c r="H27" s="492" t="s">
        <v>1164</v>
      </c>
      <c r="I27" s="493" t="s">
        <v>1165</v>
      </c>
      <c r="K27" s="195" t="s">
        <v>342</v>
      </c>
      <c r="L27" s="196" t="s">
        <v>512</v>
      </c>
      <c r="M27" s="197" t="s">
        <v>343</v>
      </c>
      <c r="O27" s="184" t="s">
        <v>616</v>
      </c>
      <c r="P27" s="156" t="s">
        <v>689</v>
      </c>
      <c r="R27" s="528"/>
      <c r="S27" s="529"/>
      <c r="T27" s="529"/>
      <c r="U27" s="529" t="s">
        <v>834</v>
      </c>
      <c r="V27" s="529"/>
      <c r="W27" s="529" t="s">
        <v>82</v>
      </c>
      <c r="X27" s="529"/>
      <c r="Y27" s="529"/>
      <c r="Z27" s="529" t="s">
        <v>178</v>
      </c>
      <c r="AA27" s="529"/>
      <c r="AB27" s="530"/>
      <c r="AD27" s="528"/>
      <c r="AE27" s="529"/>
      <c r="AF27" s="529"/>
      <c r="AG27" s="529"/>
      <c r="AH27" s="529"/>
      <c r="AI27" s="529"/>
      <c r="AJ27" s="529"/>
      <c r="AK27" s="529"/>
      <c r="AL27" s="529"/>
      <c r="AM27" s="529"/>
      <c r="AN27" s="530"/>
    </row>
    <row r="28" spans="1:40" ht="20.100000000000001" customHeight="1">
      <c r="A28" s="307" t="s">
        <v>826</v>
      </c>
      <c r="B28" s="261" t="s">
        <v>104</v>
      </c>
      <c r="C28" s="226" t="s">
        <v>105</v>
      </c>
      <c r="D28" s="19"/>
      <c r="E28" s="489" t="s">
        <v>105</v>
      </c>
      <c r="F28" s="490" t="s">
        <v>826</v>
      </c>
      <c r="G28" s="491" t="s">
        <v>104</v>
      </c>
      <c r="H28" s="492" t="s">
        <v>1166</v>
      </c>
      <c r="I28" s="493" t="s">
        <v>1167</v>
      </c>
      <c r="K28" s="195" t="s">
        <v>344</v>
      </c>
      <c r="L28" s="196" t="s">
        <v>512</v>
      </c>
      <c r="M28" s="197" t="s">
        <v>345</v>
      </c>
      <c r="O28" s="184" t="s">
        <v>617</v>
      </c>
      <c r="P28" s="156" t="s">
        <v>690</v>
      </c>
      <c r="R28" s="528"/>
      <c r="S28" s="529"/>
      <c r="T28" s="529"/>
      <c r="U28" s="529" t="s">
        <v>835</v>
      </c>
      <c r="V28" s="529"/>
      <c r="W28" s="529" t="s">
        <v>83</v>
      </c>
      <c r="X28" s="529"/>
      <c r="Y28" s="529"/>
      <c r="Z28" s="529" t="s">
        <v>179</v>
      </c>
      <c r="AA28" s="529"/>
      <c r="AB28" s="530"/>
      <c r="AD28" s="528"/>
      <c r="AE28" s="529"/>
      <c r="AF28" s="529"/>
      <c r="AG28" s="529"/>
      <c r="AH28" s="529"/>
      <c r="AI28" s="529"/>
      <c r="AJ28" s="529"/>
      <c r="AK28" s="529"/>
      <c r="AL28" s="529"/>
      <c r="AM28" s="529"/>
      <c r="AN28" s="530"/>
    </row>
    <row r="29" spans="1:40" ht="20.100000000000001" customHeight="1">
      <c r="A29" s="307" t="s">
        <v>827</v>
      </c>
      <c r="B29" s="261" t="s">
        <v>104</v>
      </c>
      <c r="C29" s="226" t="s">
        <v>105</v>
      </c>
      <c r="D29" s="19"/>
      <c r="E29" s="489" t="s">
        <v>105</v>
      </c>
      <c r="F29" s="490" t="s">
        <v>827</v>
      </c>
      <c r="G29" s="491" t="s">
        <v>104</v>
      </c>
      <c r="H29" s="492" t="s">
        <v>1168</v>
      </c>
      <c r="I29" s="493" t="s">
        <v>1169</v>
      </c>
      <c r="K29" s="195" t="s">
        <v>346</v>
      </c>
      <c r="L29" s="196" t="s">
        <v>512</v>
      </c>
      <c r="M29" s="197" t="s">
        <v>347</v>
      </c>
      <c r="O29" s="184" t="s">
        <v>783</v>
      </c>
      <c r="P29" s="156" t="s">
        <v>691</v>
      </c>
      <c r="R29" s="528"/>
      <c r="S29" s="529"/>
      <c r="T29" s="529"/>
      <c r="U29" s="529" t="s">
        <v>1103</v>
      </c>
      <c r="V29" s="529"/>
      <c r="W29" s="529"/>
      <c r="X29" s="529"/>
      <c r="Y29" s="529"/>
      <c r="Z29" s="529" t="s">
        <v>180</v>
      </c>
      <c r="AA29" s="529"/>
      <c r="AB29" s="530"/>
      <c r="AD29" s="528"/>
      <c r="AE29" s="529"/>
      <c r="AF29" s="529"/>
      <c r="AG29" s="529"/>
      <c r="AH29" s="529"/>
      <c r="AI29" s="529"/>
      <c r="AJ29" s="529"/>
      <c r="AK29" s="529"/>
      <c r="AL29" s="529"/>
      <c r="AM29" s="529"/>
      <c r="AN29" s="530"/>
    </row>
    <row r="30" spans="1:40" ht="20.100000000000001" customHeight="1">
      <c r="A30" s="307" t="s">
        <v>1093</v>
      </c>
      <c r="B30" s="261" t="s">
        <v>104</v>
      </c>
      <c r="C30" s="226" t="s">
        <v>105</v>
      </c>
      <c r="D30" s="19"/>
      <c r="E30" s="489" t="s">
        <v>105</v>
      </c>
      <c r="F30" s="490" t="s">
        <v>1093</v>
      </c>
      <c r="G30" s="491" t="s">
        <v>104</v>
      </c>
      <c r="H30" s="492" t="s">
        <v>1170</v>
      </c>
      <c r="I30" s="493" t="s">
        <v>1171</v>
      </c>
      <c r="K30" s="195" t="s">
        <v>348</v>
      </c>
      <c r="L30" s="196" t="s">
        <v>512</v>
      </c>
      <c r="M30" s="197" t="s">
        <v>349</v>
      </c>
      <c r="O30" s="184" t="s">
        <v>618</v>
      </c>
      <c r="P30" s="156" t="s">
        <v>692</v>
      </c>
      <c r="R30" s="528"/>
      <c r="S30" s="529"/>
      <c r="T30" s="529"/>
      <c r="U30" s="529" t="s">
        <v>836</v>
      </c>
      <c r="V30" s="529"/>
      <c r="W30" s="529"/>
      <c r="X30" s="529"/>
      <c r="Y30" s="529"/>
      <c r="Z30" s="529" t="s">
        <v>181</v>
      </c>
      <c r="AA30" s="529"/>
      <c r="AB30" s="530"/>
      <c r="AD30" s="528"/>
      <c r="AE30" s="529"/>
      <c r="AF30" s="529"/>
      <c r="AG30" s="529"/>
      <c r="AH30" s="529"/>
      <c r="AI30" s="529"/>
      <c r="AJ30" s="529"/>
      <c r="AK30" s="529"/>
      <c r="AL30" s="529"/>
      <c r="AM30" s="529"/>
      <c r="AN30" s="530"/>
    </row>
    <row r="31" spans="1:40" ht="20.100000000000001" customHeight="1">
      <c r="A31" s="307" t="s">
        <v>828</v>
      </c>
      <c r="B31" s="261" t="s">
        <v>104</v>
      </c>
      <c r="C31" s="226" t="s">
        <v>105</v>
      </c>
      <c r="D31" s="19"/>
      <c r="E31" s="489" t="s">
        <v>105</v>
      </c>
      <c r="F31" s="490" t="s">
        <v>828</v>
      </c>
      <c r="G31" s="491" t="s">
        <v>104</v>
      </c>
      <c r="H31" s="492" t="s">
        <v>1172</v>
      </c>
      <c r="I31" s="493" t="s">
        <v>1173</v>
      </c>
      <c r="K31" s="195" t="s">
        <v>350</v>
      </c>
      <c r="L31" s="196" t="s">
        <v>512</v>
      </c>
      <c r="M31" s="197" t="s">
        <v>851</v>
      </c>
      <c r="O31" s="184" t="s">
        <v>619</v>
      </c>
      <c r="P31" s="156" t="s">
        <v>693</v>
      </c>
      <c r="R31" s="528"/>
      <c r="S31" s="529"/>
      <c r="T31" s="529"/>
      <c r="U31" s="529" t="s">
        <v>30</v>
      </c>
      <c r="V31" s="529"/>
      <c r="W31" s="529"/>
      <c r="X31" s="529"/>
      <c r="Y31" s="529"/>
      <c r="Z31" s="529"/>
      <c r="AA31" s="529"/>
      <c r="AB31" s="530"/>
      <c r="AD31" s="528"/>
      <c r="AE31" s="529"/>
      <c r="AF31" s="529"/>
      <c r="AG31" s="529"/>
      <c r="AH31" s="529"/>
      <c r="AI31" s="529"/>
      <c r="AJ31" s="529"/>
      <c r="AK31" s="529"/>
      <c r="AL31" s="529"/>
      <c r="AM31" s="529"/>
      <c r="AN31" s="530"/>
    </row>
    <row r="32" spans="1:40" ht="20.100000000000001" customHeight="1" thickBot="1">
      <c r="A32" s="230" t="s">
        <v>775</v>
      </c>
      <c r="B32" s="257" t="s">
        <v>104</v>
      </c>
      <c r="C32" s="231" t="s">
        <v>105</v>
      </c>
      <c r="D32" s="19"/>
      <c r="E32" s="479" t="s">
        <v>105</v>
      </c>
      <c r="F32" s="480" t="s">
        <v>775</v>
      </c>
      <c r="G32" s="481" t="s">
        <v>104</v>
      </c>
      <c r="H32" s="482" t="s">
        <v>1174</v>
      </c>
      <c r="I32" s="483" t="s">
        <v>1175</v>
      </c>
      <c r="K32" s="195" t="s">
        <v>351</v>
      </c>
      <c r="L32" s="196" t="s">
        <v>512</v>
      </c>
      <c r="M32" s="197" t="s">
        <v>852</v>
      </c>
      <c r="O32" s="184" t="s">
        <v>620</v>
      </c>
      <c r="P32" s="156" t="s">
        <v>694</v>
      </c>
      <c r="R32" s="528"/>
      <c r="S32" s="529"/>
      <c r="T32" s="529"/>
      <c r="U32" s="529" t="s">
        <v>265</v>
      </c>
      <c r="V32" s="529"/>
      <c r="W32" s="529"/>
      <c r="X32" s="529"/>
      <c r="Y32" s="529"/>
      <c r="Z32" s="529"/>
      <c r="AA32" s="529"/>
      <c r="AB32" s="530"/>
      <c r="AD32" s="528"/>
      <c r="AE32" s="529"/>
      <c r="AF32" s="529"/>
      <c r="AG32" s="529"/>
      <c r="AH32" s="529"/>
      <c r="AI32" s="529"/>
      <c r="AJ32" s="529"/>
      <c r="AK32" s="529"/>
      <c r="AL32" s="529"/>
      <c r="AM32" s="529"/>
      <c r="AN32" s="530"/>
    </row>
    <row r="33" spans="1:40" ht="20.100000000000001" customHeight="1">
      <c r="A33" s="141" t="s">
        <v>902</v>
      </c>
      <c r="B33" s="258" t="s">
        <v>104</v>
      </c>
      <c r="C33" s="233" t="s">
        <v>1097</v>
      </c>
      <c r="D33" s="19"/>
      <c r="E33" s="489" t="s">
        <v>1097</v>
      </c>
      <c r="F33" s="490" t="s">
        <v>902</v>
      </c>
      <c r="G33" s="491" t="s">
        <v>104</v>
      </c>
      <c r="H33" s="492" t="s">
        <v>1176</v>
      </c>
      <c r="I33" s="493" t="s">
        <v>1177</v>
      </c>
      <c r="K33" s="195" t="s">
        <v>352</v>
      </c>
      <c r="L33" s="196" t="s">
        <v>512</v>
      </c>
      <c r="M33" s="197" t="s">
        <v>853</v>
      </c>
      <c r="O33" s="184"/>
      <c r="P33" s="155" t="s">
        <v>558</v>
      </c>
      <c r="R33" s="528"/>
      <c r="S33" s="529"/>
      <c r="T33" s="529"/>
      <c r="U33" s="529" t="s">
        <v>266</v>
      </c>
      <c r="V33" s="529"/>
      <c r="W33" s="529"/>
      <c r="X33" s="529"/>
      <c r="Y33" s="529"/>
      <c r="Z33" s="529"/>
      <c r="AA33" s="529"/>
      <c r="AB33" s="530"/>
      <c r="AD33" s="528"/>
      <c r="AE33" s="529"/>
      <c r="AF33" s="529"/>
      <c r="AG33" s="529"/>
      <c r="AH33" s="529"/>
      <c r="AI33" s="529"/>
      <c r="AJ33" s="529"/>
      <c r="AK33" s="529"/>
      <c r="AL33" s="529"/>
      <c r="AM33" s="529"/>
      <c r="AN33" s="530"/>
    </row>
    <row r="34" spans="1:40" ht="20.100000000000001" customHeight="1">
      <c r="A34" s="143" t="s">
        <v>824</v>
      </c>
      <c r="B34" s="261" t="s">
        <v>104</v>
      </c>
      <c r="C34" s="226" t="s">
        <v>1097</v>
      </c>
      <c r="D34" s="19"/>
      <c r="E34" s="489" t="s">
        <v>1097</v>
      </c>
      <c r="F34" s="490" t="s">
        <v>824</v>
      </c>
      <c r="G34" s="491" t="s">
        <v>104</v>
      </c>
      <c r="H34" s="492" t="s">
        <v>1178</v>
      </c>
      <c r="I34" s="493" t="s">
        <v>1179</v>
      </c>
      <c r="K34" s="204" t="s">
        <v>353</v>
      </c>
      <c r="L34" s="205" t="s">
        <v>512</v>
      </c>
      <c r="M34" s="206" t="s">
        <v>854</v>
      </c>
      <c r="O34" s="184" t="s">
        <v>784</v>
      </c>
      <c r="P34" s="156" t="s">
        <v>695</v>
      </c>
      <c r="R34" s="528"/>
      <c r="S34" s="529"/>
      <c r="T34" s="529"/>
      <c r="U34" s="529" t="s">
        <v>1010</v>
      </c>
      <c r="V34" s="529"/>
      <c r="W34" s="529"/>
      <c r="X34" s="529"/>
      <c r="Y34" s="529"/>
      <c r="Z34" s="529"/>
      <c r="AA34" s="529"/>
      <c r="AB34" s="530"/>
      <c r="AD34" s="528"/>
      <c r="AE34" s="529"/>
      <c r="AF34" s="529"/>
      <c r="AG34" s="529"/>
      <c r="AH34" s="529"/>
      <c r="AI34" s="529"/>
      <c r="AJ34" s="529"/>
      <c r="AK34" s="529"/>
      <c r="AL34" s="529"/>
      <c r="AM34" s="529"/>
      <c r="AN34" s="530"/>
    </row>
    <row r="35" spans="1:40" ht="20.100000000000001" customHeight="1" thickBot="1">
      <c r="A35" s="143" t="s">
        <v>825</v>
      </c>
      <c r="B35" s="261" t="s">
        <v>104</v>
      </c>
      <c r="C35" s="226" t="s">
        <v>1097</v>
      </c>
      <c r="D35" s="19"/>
      <c r="E35" s="489" t="s">
        <v>1097</v>
      </c>
      <c r="F35" s="490" t="s">
        <v>825</v>
      </c>
      <c r="G35" s="491" t="s">
        <v>104</v>
      </c>
      <c r="H35" s="492" t="s">
        <v>1180</v>
      </c>
      <c r="I35" s="493" t="s">
        <v>1181</v>
      </c>
      <c r="K35" s="516"/>
      <c r="L35" s="517"/>
      <c r="M35" s="518"/>
      <c r="O35" s="184"/>
      <c r="P35" s="156"/>
      <c r="R35" s="528"/>
      <c r="S35" s="529"/>
      <c r="T35" s="529"/>
      <c r="U35" s="529" t="s">
        <v>1104</v>
      </c>
      <c r="V35" s="529"/>
      <c r="W35" s="529"/>
      <c r="X35" s="529"/>
      <c r="Y35" s="529"/>
      <c r="Z35" s="529"/>
      <c r="AA35" s="529"/>
      <c r="AB35" s="530"/>
      <c r="AD35" s="528"/>
      <c r="AE35" s="529"/>
      <c r="AF35" s="529"/>
      <c r="AG35" s="529"/>
      <c r="AH35" s="529"/>
      <c r="AI35" s="529"/>
      <c r="AJ35" s="529"/>
      <c r="AK35" s="529"/>
      <c r="AL35" s="529"/>
      <c r="AM35" s="529"/>
      <c r="AN35" s="530"/>
    </row>
    <row r="36" spans="1:40" ht="20.100000000000001" customHeight="1" thickBot="1">
      <c r="A36" s="230" t="s">
        <v>1094</v>
      </c>
      <c r="B36" s="257" t="s">
        <v>104</v>
      </c>
      <c r="C36" s="231" t="s">
        <v>1097</v>
      </c>
      <c r="D36" s="19"/>
      <c r="E36" s="489" t="s">
        <v>1097</v>
      </c>
      <c r="F36" s="490" t="s">
        <v>1094</v>
      </c>
      <c r="G36" s="491" t="s">
        <v>104</v>
      </c>
      <c r="H36" s="492" t="s">
        <v>1182</v>
      </c>
      <c r="I36" s="493">
        <v>10712</v>
      </c>
      <c r="K36" s="207" t="s">
        <v>354</v>
      </c>
      <c r="L36" s="208" t="s">
        <v>513</v>
      </c>
      <c r="M36" s="209" t="s">
        <v>274</v>
      </c>
      <c r="O36" s="184" t="s">
        <v>785</v>
      </c>
      <c r="P36" s="157" t="s">
        <v>786</v>
      </c>
      <c r="R36" s="528"/>
      <c r="S36" s="529"/>
      <c r="T36" s="529"/>
      <c r="U36" s="529" t="s">
        <v>167</v>
      </c>
      <c r="V36" s="529"/>
      <c r="W36" s="529"/>
      <c r="X36" s="529"/>
      <c r="Y36" s="529"/>
      <c r="Z36" s="529"/>
      <c r="AA36" s="529"/>
      <c r="AB36" s="530"/>
      <c r="AD36" s="528"/>
      <c r="AE36" s="529"/>
      <c r="AF36" s="529"/>
      <c r="AG36" s="529"/>
      <c r="AH36" s="529"/>
      <c r="AI36" s="529"/>
      <c r="AJ36" s="529"/>
      <c r="AK36" s="529"/>
      <c r="AL36" s="529"/>
      <c r="AM36" s="529"/>
      <c r="AN36" s="530"/>
    </row>
    <row r="37" spans="1:40" ht="20.100000000000001" customHeight="1" thickBot="1">
      <c r="A37" s="141" t="s">
        <v>21</v>
      </c>
      <c r="B37" s="258" t="s">
        <v>22</v>
      </c>
      <c r="C37" s="233" t="s">
        <v>23</v>
      </c>
      <c r="D37" s="19"/>
      <c r="E37" s="489" t="s">
        <v>23</v>
      </c>
      <c r="F37" s="490" t="s">
        <v>21</v>
      </c>
      <c r="G37" s="491" t="s">
        <v>22</v>
      </c>
      <c r="H37" s="492" t="s">
        <v>1183</v>
      </c>
      <c r="I37" s="493" t="s">
        <v>1184</v>
      </c>
      <c r="K37" s="192" t="s">
        <v>355</v>
      </c>
      <c r="L37" s="193" t="s">
        <v>514</v>
      </c>
      <c r="M37" s="194" t="s">
        <v>356</v>
      </c>
      <c r="O37" s="184" t="s">
        <v>621</v>
      </c>
      <c r="P37" s="156" t="s">
        <v>696</v>
      </c>
      <c r="R37" s="528"/>
      <c r="S37" s="529"/>
      <c r="T37" s="529"/>
      <c r="U37" s="529" t="s">
        <v>168</v>
      </c>
      <c r="V37" s="529"/>
      <c r="W37" s="529"/>
      <c r="X37" s="529"/>
      <c r="Y37" s="529"/>
      <c r="Z37" s="529"/>
      <c r="AA37" s="529"/>
      <c r="AB37" s="530"/>
      <c r="AD37" s="528"/>
      <c r="AE37" s="529"/>
      <c r="AF37" s="529"/>
      <c r="AG37" s="529"/>
      <c r="AH37" s="529"/>
      <c r="AI37" s="529"/>
      <c r="AJ37" s="529"/>
      <c r="AK37" s="529"/>
      <c r="AL37" s="529"/>
      <c r="AM37" s="529"/>
      <c r="AN37" s="530"/>
    </row>
    <row r="38" spans="1:40" ht="20.100000000000001" customHeight="1">
      <c r="A38" s="141" t="s">
        <v>24</v>
      </c>
      <c r="B38" s="258" t="s">
        <v>22</v>
      </c>
      <c r="C38" s="233" t="s">
        <v>23</v>
      </c>
      <c r="D38" s="19"/>
      <c r="E38" s="489" t="s">
        <v>23</v>
      </c>
      <c r="F38" s="490" t="s">
        <v>24</v>
      </c>
      <c r="G38" s="491" t="s">
        <v>22</v>
      </c>
      <c r="H38" s="492" t="s">
        <v>1185</v>
      </c>
      <c r="I38" s="493" t="s">
        <v>1186</v>
      </c>
      <c r="K38" s="195" t="s">
        <v>357</v>
      </c>
      <c r="L38" s="196" t="s">
        <v>514</v>
      </c>
      <c r="M38" s="197" t="s">
        <v>358</v>
      </c>
      <c r="O38" s="184" t="s">
        <v>622</v>
      </c>
      <c r="P38" s="156" t="s">
        <v>757</v>
      </c>
      <c r="R38" s="528"/>
      <c r="S38" s="529"/>
      <c r="T38" s="529"/>
      <c r="U38" s="529" t="s">
        <v>169</v>
      </c>
      <c r="V38" s="529"/>
      <c r="W38" s="529"/>
      <c r="X38" s="529"/>
      <c r="Y38" s="529"/>
      <c r="Z38" s="529"/>
      <c r="AA38" s="529"/>
      <c r="AB38" s="530"/>
      <c r="AD38" s="528"/>
      <c r="AE38" s="529"/>
      <c r="AF38" s="529"/>
      <c r="AG38" s="529"/>
      <c r="AH38" s="529"/>
      <c r="AI38" s="529"/>
      <c r="AJ38" s="529"/>
      <c r="AK38" s="529"/>
      <c r="AL38" s="529"/>
      <c r="AM38" s="529"/>
      <c r="AN38" s="530"/>
    </row>
    <row r="39" spans="1:40" ht="20.100000000000001" customHeight="1" thickBot="1">
      <c r="A39" s="143" t="s">
        <v>25</v>
      </c>
      <c r="B39" s="261" t="s">
        <v>22</v>
      </c>
      <c r="C39" s="226" t="s">
        <v>23</v>
      </c>
      <c r="D39" s="19"/>
      <c r="E39" s="489" t="s">
        <v>23</v>
      </c>
      <c r="F39" s="490" t="s">
        <v>25</v>
      </c>
      <c r="G39" s="491" t="s">
        <v>22</v>
      </c>
      <c r="H39" s="492" t="s">
        <v>1187</v>
      </c>
      <c r="I39" s="493" t="s">
        <v>1188</v>
      </c>
      <c r="K39" s="198" t="s">
        <v>359</v>
      </c>
      <c r="L39" s="199" t="s">
        <v>514</v>
      </c>
      <c r="M39" s="200" t="s">
        <v>360</v>
      </c>
      <c r="O39" s="184" t="s">
        <v>623</v>
      </c>
      <c r="P39" s="156" t="s">
        <v>756</v>
      </c>
      <c r="R39" s="528"/>
      <c r="S39" s="529"/>
      <c r="T39" s="529"/>
      <c r="U39" s="529" t="s">
        <v>31</v>
      </c>
      <c r="V39" s="529"/>
      <c r="W39" s="529"/>
      <c r="X39" s="529"/>
      <c r="Y39" s="529"/>
      <c r="Z39" s="529"/>
      <c r="AA39" s="529"/>
      <c r="AB39" s="530"/>
      <c r="AD39" s="528"/>
      <c r="AE39" s="529"/>
      <c r="AF39" s="529"/>
      <c r="AG39" s="529"/>
      <c r="AH39" s="529"/>
      <c r="AI39" s="529"/>
      <c r="AJ39" s="529"/>
      <c r="AK39" s="529"/>
      <c r="AL39" s="529"/>
      <c r="AM39" s="529"/>
      <c r="AN39" s="530"/>
    </row>
    <row r="40" spans="1:40" ht="20.100000000000001" customHeight="1">
      <c r="A40" s="143" t="s">
        <v>199</v>
      </c>
      <c r="B40" s="261" t="s">
        <v>22</v>
      </c>
      <c r="C40" s="226" t="s">
        <v>23</v>
      </c>
      <c r="D40" s="19"/>
      <c r="E40" s="489" t="s">
        <v>23</v>
      </c>
      <c r="F40" s="490" t="s">
        <v>199</v>
      </c>
      <c r="G40" s="491" t="s">
        <v>22</v>
      </c>
      <c r="H40" s="492" t="s">
        <v>1189</v>
      </c>
      <c r="I40" s="493" t="s">
        <v>1190</v>
      </c>
      <c r="K40" s="192" t="s">
        <v>361</v>
      </c>
      <c r="L40" s="193" t="s">
        <v>515</v>
      </c>
      <c r="M40" s="194" t="s">
        <v>935</v>
      </c>
      <c r="O40" s="184"/>
      <c r="P40" s="155" t="s">
        <v>559</v>
      </c>
      <c r="R40" s="528"/>
      <c r="S40" s="529"/>
      <c r="T40" s="529"/>
      <c r="U40" s="529" t="s">
        <v>235</v>
      </c>
      <c r="V40" s="529"/>
      <c r="W40" s="529"/>
      <c r="X40" s="529"/>
      <c r="Y40" s="529"/>
      <c r="Z40" s="529"/>
      <c r="AA40" s="529"/>
      <c r="AB40" s="530"/>
      <c r="AD40" s="528"/>
      <c r="AE40" s="529"/>
      <c r="AF40" s="529"/>
      <c r="AG40" s="529"/>
      <c r="AH40" s="529"/>
      <c r="AI40" s="529"/>
      <c r="AJ40" s="529"/>
      <c r="AK40" s="529"/>
      <c r="AL40" s="529"/>
      <c r="AM40" s="529"/>
      <c r="AN40" s="530"/>
    </row>
    <row r="41" spans="1:40" ht="20.100000000000001" customHeight="1">
      <c r="A41" s="143" t="s">
        <v>26</v>
      </c>
      <c r="B41" s="261" t="s">
        <v>22</v>
      </c>
      <c r="C41" s="226" t="s">
        <v>23</v>
      </c>
      <c r="D41" s="19"/>
      <c r="E41" s="489" t="s">
        <v>23</v>
      </c>
      <c r="F41" s="490" t="s">
        <v>26</v>
      </c>
      <c r="G41" s="491" t="s">
        <v>22</v>
      </c>
      <c r="H41" s="492" t="s">
        <v>1191</v>
      </c>
      <c r="I41" s="493" t="s">
        <v>1192</v>
      </c>
      <c r="K41" s="195" t="s">
        <v>362</v>
      </c>
      <c r="L41" s="196" t="s">
        <v>515</v>
      </c>
      <c r="M41" s="197" t="s">
        <v>936</v>
      </c>
      <c r="O41" s="184" t="s">
        <v>624</v>
      </c>
      <c r="P41" s="156" t="s">
        <v>787</v>
      </c>
      <c r="R41" s="528"/>
      <c r="S41" s="529"/>
      <c r="T41" s="529"/>
      <c r="U41" s="529" t="s">
        <v>32</v>
      </c>
      <c r="V41" s="529"/>
      <c r="W41" s="529"/>
      <c r="X41" s="529"/>
      <c r="Y41" s="529"/>
      <c r="Z41" s="529"/>
      <c r="AA41" s="529"/>
      <c r="AB41" s="530"/>
      <c r="AD41" s="528"/>
      <c r="AE41" s="529"/>
      <c r="AF41" s="529"/>
      <c r="AG41" s="529"/>
      <c r="AH41" s="529"/>
      <c r="AI41" s="529"/>
      <c r="AJ41" s="529"/>
      <c r="AK41" s="529"/>
      <c r="AL41" s="529"/>
      <c r="AM41" s="529"/>
      <c r="AN41" s="530"/>
    </row>
    <row r="42" spans="1:40" ht="20.100000000000001" customHeight="1">
      <c r="A42" s="143" t="s">
        <v>200</v>
      </c>
      <c r="B42" s="261" t="s">
        <v>22</v>
      </c>
      <c r="C42" s="226" t="s">
        <v>23</v>
      </c>
      <c r="D42" s="19"/>
      <c r="E42" s="489" t="s">
        <v>23</v>
      </c>
      <c r="F42" s="490" t="s">
        <v>200</v>
      </c>
      <c r="G42" s="491" t="s">
        <v>22</v>
      </c>
      <c r="H42" s="492" t="s">
        <v>1193</v>
      </c>
      <c r="I42" s="493" t="s">
        <v>1194</v>
      </c>
      <c r="K42" s="195" t="s">
        <v>363</v>
      </c>
      <c r="L42" s="196" t="s">
        <v>515</v>
      </c>
      <c r="M42" s="197" t="s">
        <v>937</v>
      </c>
      <c r="O42" s="184" t="s">
        <v>788</v>
      </c>
      <c r="P42" s="156" t="s">
        <v>755</v>
      </c>
      <c r="R42" s="528"/>
      <c r="S42" s="529"/>
      <c r="T42" s="529"/>
      <c r="U42" s="529" t="s">
        <v>33</v>
      </c>
      <c r="V42" s="529"/>
      <c r="W42" s="529"/>
      <c r="X42" s="529"/>
      <c r="Y42" s="529"/>
      <c r="Z42" s="529"/>
      <c r="AA42" s="529"/>
      <c r="AB42" s="530"/>
      <c r="AD42" s="528"/>
      <c r="AE42" s="529"/>
      <c r="AF42" s="529"/>
      <c r="AG42" s="529"/>
      <c r="AH42" s="529"/>
      <c r="AI42" s="529"/>
      <c r="AJ42" s="529"/>
      <c r="AK42" s="529"/>
      <c r="AL42" s="529"/>
      <c r="AM42" s="529"/>
      <c r="AN42" s="530"/>
    </row>
    <row r="43" spans="1:40" ht="20.100000000000001" customHeight="1">
      <c r="A43" s="143" t="s">
        <v>27</v>
      </c>
      <c r="B43" s="261" t="s">
        <v>22</v>
      </c>
      <c r="C43" s="226" t="s">
        <v>23</v>
      </c>
      <c r="D43" s="19"/>
      <c r="E43" s="489" t="s">
        <v>23</v>
      </c>
      <c r="F43" s="490" t="s">
        <v>27</v>
      </c>
      <c r="G43" s="491" t="s">
        <v>22</v>
      </c>
      <c r="H43" s="492" t="s">
        <v>1195</v>
      </c>
      <c r="I43" s="493" t="s">
        <v>1196</v>
      </c>
      <c r="K43" s="195" t="s">
        <v>364</v>
      </c>
      <c r="L43" s="196" t="s">
        <v>516</v>
      </c>
      <c r="M43" s="197" t="s">
        <v>938</v>
      </c>
      <c r="O43" s="184" t="s">
        <v>625</v>
      </c>
      <c r="P43" s="156" t="s">
        <v>754</v>
      </c>
      <c r="R43" s="528"/>
      <c r="S43" s="529"/>
      <c r="T43" s="529"/>
      <c r="U43" s="529" t="s">
        <v>34</v>
      </c>
      <c r="V43" s="529"/>
      <c r="W43" s="529"/>
      <c r="X43" s="529"/>
      <c r="Y43" s="529"/>
      <c r="Z43" s="529"/>
      <c r="AA43" s="529"/>
      <c r="AB43" s="530"/>
      <c r="AD43" s="528"/>
      <c r="AE43" s="529"/>
      <c r="AF43" s="529"/>
      <c r="AG43" s="529"/>
      <c r="AH43" s="529"/>
      <c r="AI43" s="529"/>
      <c r="AJ43" s="529"/>
      <c r="AK43" s="529"/>
      <c r="AL43" s="529"/>
      <c r="AM43" s="529"/>
      <c r="AN43" s="530"/>
    </row>
    <row r="44" spans="1:40" ht="20.100000000000001" customHeight="1" thickBot="1">
      <c r="A44" s="142" t="s">
        <v>213</v>
      </c>
      <c r="B44" s="259" t="s">
        <v>22</v>
      </c>
      <c r="C44" s="234" t="s">
        <v>23</v>
      </c>
      <c r="D44" s="19"/>
      <c r="E44" s="479" t="s">
        <v>23</v>
      </c>
      <c r="F44" s="480" t="s">
        <v>213</v>
      </c>
      <c r="G44" s="481" t="s">
        <v>22</v>
      </c>
      <c r="H44" s="482" t="s">
        <v>1197</v>
      </c>
      <c r="I44" s="483" t="s">
        <v>1198</v>
      </c>
      <c r="K44" s="195" t="s">
        <v>365</v>
      </c>
      <c r="L44" s="196" t="s">
        <v>516</v>
      </c>
      <c r="M44" s="197" t="s">
        <v>939</v>
      </c>
      <c r="O44" s="184" t="s">
        <v>626</v>
      </c>
      <c r="P44" s="156" t="s">
        <v>753</v>
      </c>
      <c r="R44" s="528"/>
      <c r="S44" s="529"/>
      <c r="T44" s="529"/>
      <c r="U44" s="529" t="s">
        <v>35</v>
      </c>
      <c r="V44" s="529"/>
      <c r="W44" s="529"/>
      <c r="X44" s="529"/>
      <c r="Y44" s="529"/>
      <c r="Z44" s="529"/>
      <c r="AA44" s="529"/>
      <c r="AB44" s="530"/>
      <c r="AD44" s="528"/>
      <c r="AE44" s="529"/>
      <c r="AF44" s="529"/>
      <c r="AG44" s="529"/>
      <c r="AH44" s="529"/>
      <c r="AI44" s="529"/>
      <c r="AJ44" s="529"/>
      <c r="AK44" s="529"/>
      <c r="AL44" s="529"/>
      <c r="AM44" s="529"/>
      <c r="AN44" s="530"/>
    </row>
    <row r="45" spans="1:40" ht="20.100000000000001" customHeight="1" thickBot="1">
      <c r="A45" s="141" t="s">
        <v>177</v>
      </c>
      <c r="B45" s="258" t="s">
        <v>86</v>
      </c>
      <c r="C45" s="233" t="s">
        <v>214</v>
      </c>
      <c r="D45" s="19"/>
      <c r="E45" s="489" t="s">
        <v>214</v>
      </c>
      <c r="F45" s="490" t="s">
        <v>177</v>
      </c>
      <c r="G45" s="491" t="s">
        <v>86</v>
      </c>
      <c r="H45" s="492" t="s">
        <v>1199</v>
      </c>
      <c r="I45" s="493" t="s">
        <v>1200</v>
      </c>
      <c r="K45" s="195" t="s">
        <v>366</v>
      </c>
      <c r="L45" s="196" t="s">
        <v>516</v>
      </c>
      <c r="M45" s="197" t="s">
        <v>940</v>
      </c>
      <c r="O45" s="184" t="s">
        <v>627</v>
      </c>
      <c r="P45" s="156" t="s">
        <v>752</v>
      </c>
      <c r="R45" s="528"/>
      <c r="S45" s="529"/>
      <c r="T45" s="529"/>
      <c r="U45" s="529" t="s">
        <v>36</v>
      </c>
      <c r="V45" s="529"/>
      <c r="W45" s="529"/>
      <c r="X45" s="529"/>
      <c r="Y45" s="529"/>
      <c r="Z45" s="529"/>
      <c r="AA45" s="529"/>
      <c r="AB45" s="530"/>
      <c r="AD45" s="528"/>
      <c r="AE45" s="529"/>
      <c r="AF45" s="529"/>
      <c r="AG45" s="529"/>
      <c r="AH45" s="529"/>
      <c r="AI45" s="529"/>
      <c r="AJ45" s="529"/>
      <c r="AK45" s="529"/>
      <c r="AL45" s="529"/>
      <c r="AM45" s="529"/>
      <c r="AN45" s="530"/>
    </row>
    <row r="46" spans="1:40" ht="20.100000000000001" customHeight="1">
      <c r="A46" s="141" t="s">
        <v>215</v>
      </c>
      <c r="B46" s="258" t="s">
        <v>86</v>
      </c>
      <c r="C46" s="233" t="s">
        <v>214</v>
      </c>
      <c r="D46" s="19"/>
      <c r="E46" s="489" t="s">
        <v>214</v>
      </c>
      <c r="F46" s="490" t="s">
        <v>215</v>
      </c>
      <c r="G46" s="491" t="s">
        <v>86</v>
      </c>
      <c r="H46" s="492" t="s">
        <v>1201</v>
      </c>
      <c r="I46" s="493" t="s">
        <v>1202</v>
      </c>
      <c r="K46" s="195" t="s">
        <v>367</v>
      </c>
      <c r="L46" s="196" t="s">
        <v>516</v>
      </c>
      <c r="M46" s="197" t="s">
        <v>941</v>
      </c>
      <c r="O46" s="184"/>
      <c r="P46" s="155" t="s">
        <v>560</v>
      </c>
      <c r="R46" s="528"/>
      <c r="S46" s="529"/>
      <c r="T46" s="529"/>
      <c r="U46" s="529" t="s">
        <v>37</v>
      </c>
      <c r="V46" s="529"/>
      <c r="W46" s="529"/>
      <c r="X46" s="529"/>
      <c r="Y46" s="529"/>
      <c r="Z46" s="529"/>
      <c r="AA46" s="529"/>
      <c r="AB46" s="530"/>
      <c r="AD46" s="528"/>
      <c r="AE46" s="529"/>
      <c r="AF46" s="529"/>
      <c r="AG46" s="529"/>
      <c r="AH46" s="529"/>
      <c r="AI46" s="529"/>
      <c r="AJ46" s="529"/>
      <c r="AK46" s="529"/>
      <c r="AL46" s="529"/>
      <c r="AM46" s="529"/>
      <c r="AN46" s="530"/>
    </row>
    <row r="47" spans="1:40" ht="20.100000000000001" customHeight="1">
      <c r="A47" s="143" t="s">
        <v>87</v>
      </c>
      <c r="B47" s="261" t="s">
        <v>86</v>
      </c>
      <c r="C47" s="226" t="s">
        <v>214</v>
      </c>
      <c r="D47" s="19"/>
      <c r="E47" s="489" t="s">
        <v>214</v>
      </c>
      <c r="F47" s="490" t="s">
        <v>87</v>
      </c>
      <c r="G47" s="491" t="s">
        <v>86</v>
      </c>
      <c r="H47" s="492" t="s">
        <v>1203</v>
      </c>
      <c r="I47" s="493" t="s">
        <v>1204</v>
      </c>
      <c r="K47" s="195" t="s">
        <v>368</v>
      </c>
      <c r="L47" s="196" t="s">
        <v>516</v>
      </c>
      <c r="M47" s="197" t="s">
        <v>942</v>
      </c>
      <c r="O47" s="184" t="s">
        <v>789</v>
      </c>
      <c r="P47" s="156" t="s">
        <v>751</v>
      </c>
      <c r="R47" s="528"/>
      <c r="S47" s="529"/>
      <c r="T47" s="529"/>
      <c r="U47" s="529" t="s">
        <v>1011</v>
      </c>
      <c r="V47" s="529"/>
      <c r="W47" s="529"/>
      <c r="X47" s="529"/>
      <c r="Y47" s="529"/>
      <c r="Z47" s="529"/>
      <c r="AA47" s="529"/>
      <c r="AB47" s="530"/>
      <c r="AD47" s="528"/>
      <c r="AE47" s="529"/>
      <c r="AF47" s="529"/>
      <c r="AG47" s="529"/>
      <c r="AH47" s="529"/>
      <c r="AI47" s="529"/>
      <c r="AJ47" s="529"/>
      <c r="AK47" s="529"/>
      <c r="AL47" s="529"/>
      <c r="AM47" s="529"/>
      <c r="AN47" s="530"/>
    </row>
    <row r="48" spans="1:40" ht="20.100000000000001" customHeight="1">
      <c r="A48" s="143" t="s">
        <v>88</v>
      </c>
      <c r="B48" s="261" t="s">
        <v>86</v>
      </c>
      <c r="C48" s="226" t="s">
        <v>214</v>
      </c>
      <c r="D48" s="19"/>
      <c r="E48" s="489" t="s">
        <v>214</v>
      </c>
      <c r="F48" s="490" t="s">
        <v>88</v>
      </c>
      <c r="G48" s="491" t="s">
        <v>86</v>
      </c>
      <c r="H48" s="492" t="s">
        <v>1205</v>
      </c>
      <c r="I48" s="493" t="s">
        <v>1206</v>
      </c>
      <c r="K48" s="195" t="s">
        <v>369</v>
      </c>
      <c r="L48" s="196" t="s">
        <v>516</v>
      </c>
      <c r="M48" s="197" t="s">
        <v>943</v>
      </c>
      <c r="O48" s="184"/>
      <c r="P48" s="155" t="s">
        <v>561</v>
      </c>
      <c r="R48" s="528"/>
      <c r="S48" s="529"/>
      <c r="T48" s="529"/>
      <c r="U48" s="529" t="s">
        <v>38</v>
      </c>
      <c r="V48" s="529"/>
      <c r="W48" s="529"/>
      <c r="X48" s="529"/>
      <c r="Y48" s="529"/>
      <c r="Z48" s="529"/>
      <c r="AA48" s="529"/>
      <c r="AB48" s="530"/>
      <c r="AD48" s="528"/>
      <c r="AE48" s="529"/>
      <c r="AF48" s="529"/>
      <c r="AG48" s="529"/>
      <c r="AH48" s="529"/>
      <c r="AI48" s="529"/>
      <c r="AJ48" s="529"/>
      <c r="AK48" s="529"/>
      <c r="AL48" s="529"/>
      <c r="AM48" s="529"/>
      <c r="AN48" s="530"/>
    </row>
    <row r="49" spans="1:40" ht="20.100000000000001" customHeight="1" thickBot="1">
      <c r="A49" s="142" t="s">
        <v>263</v>
      </c>
      <c r="B49" s="259" t="s">
        <v>86</v>
      </c>
      <c r="C49" s="234" t="s">
        <v>214</v>
      </c>
      <c r="D49" s="19"/>
      <c r="E49" s="479" t="s">
        <v>214</v>
      </c>
      <c r="F49" s="480" t="s">
        <v>263</v>
      </c>
      <c r="G49" s="481" t="s">
        <v>86</v>
      </c>
      <c r="H49" s="482" t="s">
        <v>1207</v>
      </c>
      <c r="I49" s="483" t="s">
        <v>1208</v>
      </c>
      <c r="K49" s="195" t="s">
        <v>370</v>
      </c>
      <c r="L49" s="196" t="s">
        <v>516</v>
      </c>
      <c r="M49" s="197" t="s">
        <v>944</v>
      </c>
      <c r="O49" s="184" t="s">
        <v>628</v>
      </c>
      <c r="P49" s="156" t="s">
        <v>750</v>
      </c>
      <c r="R49" s="528"/>
      <c r="S49" s="529"/>
      <c r="T49" s="529"/>
      <c r="U49" s="529" t="s">
        <v>39</v>
      </c>
      <c r="V49" s="529"/>
      <c r="W49" s="529"/>
      <c r="X49" s="529"/>
      <c r="Y49" s="529"/>
      <c r="Z49" s="529"/>
      <c r="AA49" s="529"/>
      <c r="AB49" s="530"/>
      <c r="AD49" s="528"/>
      <c r="AE49" s="529"/>
      <c r="AF49" s="529"/>
      <c r="AG49" s="529"/>
      <c r="AH49" s="529"/>
      <c r="AI49" s="529"/>
      <c r="AJ49" s="529"/>
      <c r="AK49" s="529"/>
      <c r="AL49" s="529"/>
      <c r="AM49" s="529"/>
      <c r="AN49" s="530"/>
    </row>
    <row r="50" spans="1:40" ht="20.100000000000001" customHeight="1" thickBot="1">
      <c r="A50" s="141" t="s">
        <v>982</v>
      </c>
      <c r="B50" s="258" t="s">
        <v>86</v>
      </c>
      <c r="C50" s="233" t="s">
        <v>216</v>
      </c>
      <c r="D50" s="19"/>
      <c r="E50" s="489" t="s">
        <v>216</v>
      </c>
      <c r="F50" s="490" t="s">
        <v>982</v>
      </c>
      <c r="G50" s="491" t="s">
        <v>86</v>
      </c>
      <c r="H50" s="492" t="s">
        <v>1209</v>
      </c>
      <c r="I50" s="493" t="s">
        <v>1210</v>
      </c>
      <c r="K50" s="195" t="s">
        <v>371</v>
      </c>
      <c r="L50" s="196" t="s">
        <v>516</v>
      </c>
      <c r="M50" s="197" t="s">
        <v>945</v>
      </c>
      <c r="O50" s="184" t="s">
        <v>629</v>
      </c>
      <c r="P50" s="156" t="s">
        <v>749</v>
      </c>
      <c r="R50" s="528"/>
      <c r="S50" s="529"/>
      <c r="T50" s="529"/>
      <c r="U50" s="529" t="s">
        <v>40</v>
      </c>
      <c r="V50" s="529"/>
      <c r="W50" s="529"/>
      <c r="X50" s="529"/>
      <c r="Y50" s="529"/>
      <c r="Z50" s="529"/>
      <c r="AA50" s="529"/>
      <c r="AB50" s="530"/>
      <c r="AD50" s="528"/>
      <c r="AE50" s="529"/>
      <c r="AF50" s="529"/>
      <c r="AG50" s="529"/>
      <c r="AH50" s="529"/>
      <c r="AI50" s="529"/>
      <c r="AJ50" s="529"/>
      <c r="AK50" s="529"/>
      <c r="AL50" s="529"/>
      <c r="AM50" s="529"/>
      <c r="AN50" s="530"/>
    </row>
    <row r="51" spans="1:40" ht="20.100000000000001" customHeight="1">
      <c r="A51" s="141" t="s">
        <v>980</v>
      </c>
      <c r="B51" s="258" t="s">
        <v>86</v>
      </c>
      <c r="C51" s="233" t="s">
        <v>216</v>
      </c>
      <c r="D51" s="19"/>
      <c r="E51" s="489" t="s">
        <v>216</v>
      </c>
      <c r="F51" s="490" t="s">
        <v>980</v>
      </c>
      <c r="G51" s="491" t="s">
        <v>86</v>
      </c>
      <c r="H51" s="492" t="s">
        <v>1211</v>
      </c>
      <c r="I51" s="493" t="s">
        <v>1212</v>
      </c>
      <c r="K51" s="195" t="s">
        <v>372</v>
      </c>
      <c r="L51" s="196" t="s">
        <v>516</v>
      </c>
      <c r="M51" s="197" t="s">
        <v>946</v>
      </c>
      <c r="O51" s="184" t="s">
        <v>630</v>
      </c>
      <c r="P51" s="156" t="s">
        <v>748</v>
      </c>
      <c r="R51" s="528"/>
      <c r="S51" s="529"/>
      <c r="T51" s="529"/>
      <c r="U51" s="529" t="s">
        <v>41</v>
      </c>
      <c r="V51" s="529"/>
      <c r="W51" s="529"/>
      <c r="X51" s="529"/>
      <c r="Y51" s="529"/>
      <c r="Z51" s="529"/>
      <c r="AA51" s="529"/>
      <c r="AB51" s="530"/>
      <c r="AD51" s="528"/>
      <c r="AE51" s="529"/>
      <c r="AF51" s="529"/>
      <c r="AG51" s="529"/>
      <c r="AH51" s="529"/>
      <c r="AI51" s="529"/>
      <c r="AJ51" s="529"/>
      <c r="AK51" s="529"/>
      <c r="AL51" s="529"/>
      <c r="AM51" s="529"/>
      <c r="AN51" s="530"/>
    </row>
    <row r="52" spans="1:40" ht="20.100000000000001" customHeight="1">
      <c r="A52" s="143" t="s">
        <v>981</v>
      </c>
      <c r="B52" s="261" t="s">
        <v>86</v>
      </c>
      <c r="C52" s="226" t="s">
        <v>216</v>
      </c>
      <c r="D52" s="19"/>
      <c r="E52" s="489" t="s">
        <v>216</v>
      </c>
      <c r="F52" s="490" t="s">
        <v>981</v>
      </c>
      <c r="G52" s="491" t="s">
        <v>86</v>
      </c>
      <c r="H52" s="492" t="s">
        <v>1213</v>
      </c>
      <c r="I52" s="493" t="s">
        <v>1214</v>
      </c>
      <c r="K52" s="195" t="s">
        <v>933</v>
      </c>
      <c r="L52" s="196" t="s">
        <v>516</v>
      </c>
      <c r="M52" s="197" t="s">
        <v>947</v>
      </c>
      <c r="O52" s="184"/>
      <c r="P52" s="154" t="s">
        <v>562</v>
      </c>
      <c r="R52" s="528"/>
      <c r="S52" s="529"/>
      <c r="T52" s="529"/>
      <c r="U52" s="529" t="s">
        <v>42</v>
      </c>
      <c r="V52" s="529"/>
      <c r="W52" s="529"/>
      <c r="X52" s="529"/>
      <c r="Y52" s="529"/>
      <c r="Z52" s="529"/>
      <c r="AA52" s="529"/>
      <c r="AB52" s="530"/>
      <c r="AD52" s="528"/>
      <c r="AE52" s="529"/>
      <c r="AF52" s="529"/>
      <c r="AG52" s="529"/>
      <c r="AH52" s="529"/>
      <c r="AI52" s="529"/>
      <c r="AJ52" s="529"/>
      <c r="AK52" s="529"/>
      <c r="AL52" s="529"/>
      <c r="AM52" s="529"/>
      <c r="AN52" s="530"/>
    </row>
    <row r="53" spans="1:40" ht="20.100000000000001" customHeight="1" thickBot="1">
      <c r="A53" s="143" t="s">
        <v>89</v>
      </c>
      <c r="B53" s="261" t="s">
        <v>86</v>
      </c>
      <c r="C53" s="226" t="s">
        <v>216</v>
      </c>
      <c r="D53" s="19"/>
      <c r="E53" s="489" t="s">
        <v>216</v>
      </c>
      <c r="F53" s="490" t="s">
        <v>89</v>
      </c>
      <c r="G53" s="491" t="s">
        <v>86</v>
      </c>
      <c r="H53" s="492" t="s">
        <v>1215</v>
      </c>
      <c r="I53" s="493" t="s">
        <v>1216</v>
      </c>
      <c r="K53" s="204" t="s">
        <v>934</v>
      </c>
      <c r="L53" s="205" t="s">
        <v>516</v>
      </c>
      <c r="M53" s="206" t="s">
        <v>948</v>
      </c>
      <c r="O53" s="184"/>
      <c r="P53" s="155" t="s">
        <v>563</v>
      </c>
      <c r="R53" s="528"/>
      <c r="S53" s="529"/>
      <c r="T53" s="529"/>
      <c r="U53" s="529" t="s">
        <v>43</v>
      </c>
      <c r="V53" s="529"/>
      <c r="W53" s="529"/>
      <c r="X53" s="529"/>
      <c r="Y53" s="529"/>
      <c r="Z53" s="529"/>
      <c r="AA53" s="529"/>
      <c r="AB53" s="530"/>
      <c r="AD53" s="528"/>
      <c r="AE53" s="529"/>
      <c r="AF53" s="529"/>
      <c r="AG53" s="529"/>
      <c r="AH53" s="529"/>
      <c r="AI53" s="529"/>
      <c r="AJ53" s="529"/>
      <c r="AK53" s="529"/>
      <c r="AL53" s="529"/>
      <c r="AM53" s="529"/>
      <c r="AN53" s="530"/>
    </row>
    <row r="54" spans="1:40" ht="20.100000000000001" customHeight="1">
      <c r="A54" s="143" t="s">
        <v>983</v>
      </c>
      <c r="B54" s="261" t="s">
        <v>86</v>
      </c>
      <c r="C54" s="226" t="s">
        <v>216</v>
      </c>
      <c r="D54" s="19"/>
      <c r="E54" s="489" t="s">
        <v>216</v>
      </c>
      <c r="F54" s="490" t="s">
        <v>983</v>
      </c>
      <c r="G54" s="491" t="s">
        <v>86</v>
      </c>
      <c r="H54" s="492" t="s">
        <v>1217</v>
      </c>
      <c r="I54" s="493" t="s">
        <v>1218</v>
      </c>
      <c r="K54" s="192" t="s">
        <v>373</v>
      </c>
      <c r="L54" s="193" t="s">
        <v>517</v>
      </c>
      <c r="M54" s="194" t="s">
        <v>374</v>
      </c>
      <c r="O54" s="184" t="s">
        <v>631</v>
      </c>
      <c r="P54" s="156" t="s">
        <v>790</v>
      </c>
      <c r="R54" s="528"/>
      <c r="S54" s="529"/>
      <c r="T54" s="529"/>
      <c r="U54" s="529" t="s">
        <v>44</v>
      </c>
      <c r="V54" s="529"/>
      <c r="W54" s="529"/>
      <c r="X54" s="529"/>
      <c r="Y54" s="529"/>
      <c r="Z54" s="529"/>
      <c r="AA54" s="529"/>
      <c r="AB54" s="530"/>
      <c r="AD54" s="528"/>
      <c r="AE54" s="529"/>
      <c r="AF54" s="529"/>
      <c r="AG54" s="529"/>
      <c r="AH54" s="529"/>
      <c r="AI54" s="529"/>
      <c r="AJ54" s="529"/>
      <c r="AK54" s="529"/>
      <c r="AL54" s="529"/>
      <c r="AM54" s="529"/>
      <c r="AN54" s="530"/>
    </row>
    <row r="55" spans="1:40" ht="20.100000000000001" customHeight="1" thickBot="1">
      <c r="A55" s="307" t="s">
        <v>264</v>
      </c>
      <c r="B55" s="261" t="s">
        <v>86</v>
      </c>
      <c r="C55" s="226" t="s">
        <v>216</v>
      </c>
      <c r="D55" s="19"/>
      <c r="E55" s="489" t="s">
        <v>216</v>
      </c>
      <c r="F55" s="490" t="s">
        <v>264</v>
      </c>
      <c r="G55" s="491" t="s">
        <v>86</v>
      </c>
      <c r="H55" s="492" t="s">
        <v>1219</v>
      </c>
      <c r="I55" s="493" t="s">
        <v>1220</v>
      </c>
      <c r="K55" s="198" t="s">
        <v>375</v>
      </c>
      <c r="L55" s="199" t="s">
        <v>517</v>
      </c>
      <c r="M55" s="200" t="s">
        <v>855</v>
      </c>
      <c r="O55" s="184" t="s">
        <v>632</v>
      </c>
      <c r="P55" s="156" t="s">
        <v>747</v>
      </c>
      <c r="R55" s="528"/>
      <c r="S55" s="529"/>
      <c r="T55" s="529"/>
      <c r="U55" s="529" t="s">
        <v>45</v>
      </c>
      <c r="V55" s="529"/>
      <c r="W55" s="529"/>
      <c r="X55" s="529"/>
      <c r="Y55" s="529"/>
      <c r="Z55" s="529"/>
      <c r="AA55" s="529"/>
      <c r="AB55" s="530"/>
      <c r="AD55" s="528"/>
      <c r="AE55" s="529"/>
      <c r="AF55" s="529"/>
      <c r="AG55" s="529"/>
      <c r="AH55" s="529"/>
      <c r="AI55" s="529"/>
      <c r="AJ55" s="529"/>
      <c r="AK55" s="529"/>
      <c r="AL55" s="529"/>
      <c r="AM55" s="529"/>
      <c r="AN55" s="530"/>
    </row>
    <row r="56" spans="1:40" ht="20.100000000000001" customHeight="1" thickBot="1">
      <c r="A56" s="308" t="s">
        <v>90</v>
      </c>
      <c r="B56" s="259" t="s">
        <v>86</v>
      </c>
      <c r="C56" s="234" t="s">
        <v>216</v>
      </c>
      <c r="D56" s="19"/>
      <c r="E56" s="479" t="s">
        <v>216</v>
      </c>
      <c r="F56" s="480" t="s">
        <v>90</v>
      </c>
      <c r="G56" s="481" t="s">
        <v>86</v>
      </c>
      <c r="H56" s="482" t="s">
        <v>1221</v>
      </c>
      <c r="I56" s="483" t="s">
        <v>1222</v>
      </c>
      <c r="K56" s="207" t="s">
        <v>376</v>
      </c>
      <c r="L56" s="208" t="s">
        <v>377</v>
      </c>
      <c r="M56" s="209" t="s">
        <v>377</v>
      </c>
      <c r="O56" s="184" t="s">
        <v>633</v>
      </c>
      <c r="P56" s="156" t="s">
        <v>746</v>
      </c>
      <c r="R56" s="528"/>
      <c r="S56" s="529"/>
      <c r="T56" s="529"/>
      <c r="U56" s="529" t="s">
        <v>46</v>
      </c>
      <c r="V56" s="529"/>
      <c r="W56" s="529"/>
      <c r="X56" s="529"/>
      <c r="Y56" s="529"/>
      <c r="Z56" s="529"/>
      <c r="AA56" s="529"/>
      <c r="AB56" s="530"/>
      <c r="AD56" s="528"/>
      <c r="AE56" s="529"/>
      <c r="AF56" s="529"/>
      <c r="AG56" s="529"/>
      <c r="AH56" s="529"/>
      <c r="AI56" s="529"/>
      <c r="AJ56" s="529"/>
      <c r="AK56" s="529"/>
      <c r="AL56" s="529"/>
      <c r="AM56" s="529"/>
      <c r="AN56" s="530"/>
    </row>
    <row r="57" spans="1:40" ht="20.100000000000001" customHeight="1" thickBot="1">
      <c r="A57" s="309" t="s">
        <v>984</v>
      </c>
      <c r="B57" s="258" t="s">
        <v>67</v>
      </c>
      <c r="C57" s="233" t="s">
        <v>68</v>
      </c>
      <c r="D57" s="19"/>
      <c r="E57" s="489" t="s">
        <v>68</v>
      </c>
      <c r="F57" s="490" t="s">
        <v>984</v>
      </c>
      <c r="G57" s="491" t="s">
        <v>67</v>
      </c>
      <c r="H57" s="492" t="s">
        <v>1223</v>
      </c>
      <c r="I57" s="493">
        <v>13001</v>
      </c>
      <c r="K57" s="192" t="s">
        <v>378</v>
      </c>
      <c r="L57" s="193" t="s">
        <v>518</v>
      </c>
      <c r="M57" s="194" t="s">
        <v>379</v>
      </c>
      <c r="O57" s="184" t="s">
        <v>634</v>
      </c>
      <c r="P57" s="156" t="s">
        <v>745</v>
      </c>
      <c r="R57" s="528"/>
      <c r="S57" s="529"/>
      <c r="T57" s="529"/>
      <c r="U57" s="529" t="s">
        <v>47</v>
      </c>
      <c r="V57" s="529"/>
      <c r="W57" s="529"/>
      <c r="X57" s="529"/>
      <c r="Y57" s="529"/>
      <c r="Z57" s="529"/>
      <c r="AA57" s="529"/>
      <c r="AB57" s="530"/>
      <c r="AD57" s="528"/>
      <c r="AE57" s="529"/>
      <c r="AF57" s="529"/>
      <c r="AG57" s="529"/>
      <c r="AH57" s="529"/>
      <c r="AI57" s="529"/>
      <c r="AJ57" s="529"/>
      <c r="AK57" s="529"/>
      <c r="AL57" s="529"/>
      <c r="AM57" s="529"/>
      <c r="AN57" s="530"/>
    </row>
    <row r="58" spans="1:40" ht="20.100000000000001" customHeight="1">
      <c r="A58" s="309" t="s">
        <v>985</v>
      </c>
      <c r="B58" s="258" t="s">
        <v>67</v>
      </c>
      <c r="C58" s="233" t="s">
        <v>68</v>
      </c>
      <c r="D58" s="19"/>
      <c r="E58" s="489" t="s">
        <v>68</v>
      </c>
      <c r="F58" s="490" t="s">
        <v>985</v>
      </c>
      <c r="G58" s="491" t="s">
        <v>67</v>
      </c>
      <c r="H58" s="492" t="s">
        <v>1224</v>
      </c>
      <c r="I58" s="493">
        <v>13002</v>
      </c>
      <c r="K58" s="195" t="s">
        <v>380</v>
      </c>
      <c r="L58" s="196" t="s">
        <v>518</v>
      </c>
      <c r="M58" s="197" t="s">
        <v>381</v>
      </c>
      <c r="O58" s="184"/>
      <c r="P58" s="155" t="s">
        <v>564</v>
      </c>
      <c r="R58" s="528"/>
      <c r="S58" s="529"/>
      <c r="T58" s="529"/>
      <c r="U58" s="529" t="s">
        <v>48</v>
      </c>
      <c r="V58" s="529"/>
      <c r="W58" s="529"/>
      <c r="X58" s="529"/>
      <c r="Y58" s="529"/>
      <c r="Z58" s="529"/>
      <c r="AA58" s="529"/>
      <c r="AB58" s="530"/>
      <c r="AD58" s="528"/>
      <c r="AE58" s="529"/>
      <c r="AF58" s="529"/>
      <c r="AG58" s="529"/>
      <c r="AH58" s="529"/>
      <c r="AI58" s="529"/>
      <c r="AJ58" s="529"/>
      <c r="AK58" s="529"/>
      <c r="AL58" s="529"/>
      <c r="AM58" s="529"/>
      <c r="AN58" s="530"/>
    </row>
    <row r="59" spans="1:40" ht="20.100000000000001" customHeight="1">
      <c r="A59" s="143" t="s">
        <v>903</v>
      </c>
      <c r="B59" s="261" t="s">
        <v>67</v>
      </c>
      <c r="C59" s="226" t="s">
        <v>68</v>
      </c>
      <c r="D59" s="19"/>
      <c r="E59" s="489" t="s">
        <v>68</v>
      </c>
      <c r="F59" s="490" t="s">
        <v>903</v>
      </c>
      <c r="G59" s="491" t="s">
        <v>67</v>
      </c>
      <c r="H59" s="492" t="s">
        <v>1225</v>
      </c>
      <c r="I59" s="493">
        <v>13003</v>
      </c>
      <c r="K59" s="195" t="s">
        <v>382</v>
      </c>
      <c r="L59" s="196" t="s">
        <v>518</v>
      </c>
      <c r="M59" s="197" t="s">
        <v>383</v>
      </c>
      <c r="O59" s="184" t="s">
        <v>635</v>
      </c>
      <c r="P59" s="156" t="s">
        <v>791</v>
      </c>
      <c r="R59" s="528"/>
      <c r="S59" s="529"/>
      <c r="T59" s="529"/>
      <c r="U59" s="529" t="s">
        <v>49</v>
      </c>
      <c r="V59" s="529"/>
      <c r="W59" s="529"/>
      <c r="X59" s="529"/>
      <c r="Y59" s="529"/>
      <c r="Z59" s="529"/>
      <c r="AA59" s="529"/>
      <c r="AB59" s="530"/>
      <c r="AD59" s="528"/>
      <c r="AE59" s="529"/>
      <c r="AF59" s="529"/>
      <c r="AG59" s="529"/>
      <c r="AH59" s="529"/>
      <c r="AI59" s="529"/>
      <c r="AJ59" s="529"/>
      <c r="AK59" s="529"/>
      <c r="AL59" s="529"/>
      <c r="AM59" s="529"/>
      <c r="AN59" s="530"/>
    </row>
    <row r="60" spans="1:40" ht="20.100000000000001" customHeight="1" thickBot="1">
      <c r="A60" s="143" t="s">
        <v>217</v>
      </c>
      <c r="B60" s="261" t="s">
        <v>67</v>
      </c>
      <c r="C60" s="226" t="s">
        <v>68</v>
      </c>
      <c r="D60" s="19"/>
      <c r="E60" s="489" t="s">
        <v>68</v>
      </c>
      <c r="F60" s="490" t="s">
        <v>217</v>
      </c>
      <c r="G60" s="491" t="s">
        <v>67</v>
      </c>
      <c r="H60" s="492" t="s">
        <v>1226</v>
      </c>
      <c r="I60" s="493">
        <v>13004</v>
      </c>
      <c r="K60" s="198" t="s">
        <v>856</v>
      </c>
      <c r="L60" s="199" t="s">
        <v>518</v>
      </c>
      <c r="M60" s="200" t="s">
        <v>959</v>
      </c>
      <c r="O60" s="184"/>
      <c r="P60" s="155" t="s">
        <v>565</v>
      </c>
      <c r="R60" s="528"/>
      <c r="S60" s="529"/>
      <c r="T60" s="529"/>
      <c r="U60" s="529" t="s">
        <v>50</v>
      </c>
      <c r="V60" s="529"/>
      <c r="W60" s="529"/>
      <c r="X60" s="529"/>
      <c r="Y60" s="529"/>
      <c r="Z60" s="529"/>
      <c r="AA60" s="529"/>
      <c r="AB60" s="530"/>
      <c r="AD60" s="528"/>
      <c r="AE60" s="529"/>
      <c r="AF60" s="529"/>
      <c r="AG60" s="529"/>
      <c r="AH60" s="529"/>
      <c r="AI60" s="529"/>
      <c r="AJ60" s="529"/>
      <c r="AK60" s="529"/>
      <c r="AL60" s="529"/>
      <c r="AM60" s="529"/>
      <c r="AN60" s="530"/>
    </row>
    <row r="61" spans="1:40" ht="20.100000000000001" customHeight="1" thickBot="1">
      <c r="A61" s="143" t="s">
        <v>904</v>
      </c>
      <c r="B61" s="261" t="s">
        <v>67</v>
      </c>
      <c r="C61" s="226" t="s">
        <v>68</v>
      </c>
      <c r="D61" s="19"/>
      <c r="E61" s="489" t="s">
        <v>68</v>
      </c>
      <c r="F61" s="490" t="s">
        <v>904</v>
      </c>
      <c r="G61" s="491" t="s">
        <v>67</v>
      </c>
      <c r="H61" s="492" t="s">
        <v>1227</v>
      </c>
      <c r="I61" s="493">
        <v>13005</v>
      </c>
      <c r="K61" s="207" t="s">
        <v>384</v>
      </c>
      <c r="L61" s="208" t="s">
        <v>519</v>
      </c>
      <c r="M61" s="209" t="s">
        <v>385</v>
      </c>
      <c r="O61" s="184" t="s">
        <v>636</v>
      </c>
      <c r="P61" s="157" t="s">
        <v>792</v>
      </c>
      <c r="R61" s="528"/>
      <c r="S61" s="529"/>
      <c r="T61" s="529"/>
      <c r="U61" s="529" t="s">
        <v>51</v>
      </c>
      <c r="V61" s="529"/>
      <c r="W61" s="529"/>
      <c r="X61" s="529"/>
      <c r="Y61" s="529"/>
      <c r="Z61" s="529"/>
      <c r="AA61" s="529"/>
      <c r="AB61" s="530"/>
      <c r="AD61" s="528"/>
      <c r="AE61" s="529"/>
      <c r="AF61" s="529"/>
      <c r="AG61" s="529"/>
      <c r="AH61" s="529"/>
      <c r="AI61" s="529"/>
      <c r="AJ61" s="529"/>
      <c r="AK61" s="529"/>
      <c r="AL61" s="529"/>
      <c r="AM61" s="529"/>
      <c r="AN61" s="530"/>
    </row>
    <row r="62" spans="1:40" ht="20.100000000000001" customHeight="1" thickBot="1">
      <c r="A62" s="143" t="s">
        <v>69</v>
      </c>
      <c r="B62" s="261" t="s">
        <v>67</v>
      </c>
      <c r="C62" s="226" t="s">
        <v>68</v>
      </c>
      <c r="D62" s="19"/>
      <c r="E62" s="489" t="s">
        <v>68</v>
      </c>
      <c r="F62" s="490" t="s">
        <v>69</v>
      </c>
      <c r="G62" s="491" t="s">
        <v>67</v>
      </c>
      <c r="H62" s="492" t="s">
        <v>1228</v>
      </c>
      <c r="I62" s="493">
        <v>13006</v>
      </c>
      <c r="K62" s="207" t="s">
        <v>386</v>
      </c>
      <c r="L62" s="208" t="s">
        <v>520</v>
      </c>
      <c r="M62" s="209" t="s">
        <v>387</v>
      </c>
      <c r="O62" s="184" t="s">
        <v>793</v>
      </c>
      <c r="P62" s="157" t="s">
        <v>794</v>
      </c>
      <c r="R62" s="528"/>
      <c r="S62" s="529"/>
      <c r="T62" s="529"/>
      <c r="U62" s="529" t="s">
        <v>52</v>
      </c>
      <c r="V62" s="529"/>
      <c r="W62" s="529"/>
      <c r="X62" s="529"/>
      <c r="Y62" s="529"/>
      <c r="Z62" s="529"/>
      <c r="AA62" s="529"/>
      <c r="AB62" s="530"/>
      <c r="AD62" s="528"/>
      <c r="AE62" s="529"/>
      <c r="AF62" s="529"/>
      <c r="AG62" s="529"/>
      <c r="AH62" s="529"/>
      <c r="AI62" s="529"/>
      <c r="AJ62" s="529"/>
      <c r="AK62" s="529"/>
      <c r="AL62" s="529"/>
      <c r="AM62" s="529"/>
      <c r="AN62" s="530"/>
    </row>
    <row r="63" spans="1:40" ht="20.100000000000001" customHeight="1">
      <c r="A63" s="143" t="s">
        <v>905</v>
      </c>
      <c r="B63" s="261" t="s">
        <v>67</v>
      </c>
      <c r="C63" s="226" t="s">
        <v>68</v>
      </c>
      <c r="D63" s="19"/>
      <c r="E63" s="489" t="s">
        <v>68</v>
      </c>
      <c r="F63" s="490" t="s">
        <v>905</v>
      </c>
      <c r="G63" s="491" t="s">
        <v>67</v>
      </c>
      <c r="H63" s="492" t="s">
        <v>1229</v>
      </c>
      <c r="I63" s="493">
        <v>13007</v>
      </c>
      <c r="K63" s="192" t="s">
        <v>388</v>
      </c>
      <c r="L63" s="193" t="s">
        <v>521</v>
      </c>
      <c r="M63" s="194" t="s">
        <v>960</v>
      </c>
      <c r="O63" s="184" t="s">
        <v>950</v>
      </c>
      <c r="P63" s="157" t="s">
        <v>949</v>
      </c>
      <c r="R63" s="528"/>
      <c r="S63" s="529"/>
      <c r="T63" s="529"/>
      <c r="U63" s="529" t="s">
        <v>53</v>
      </c>
      <c r="V63" s="529"/>
      <c r="W63" s="529"/>
      <c r="X63" s="529"/>
      <c r="Y63" s="529"/>
      <c r="Z63" s="529"/>
      <c r="AA63" s="529"/>
      <c r="AB63" s="530"/>
      <c r="AD63" s="528"/>
      <c r="AE63" s="529"/>
      <c r="AF63" s="529"/>
      <c r="AG63" s="529"/>
      <c r="AH63" s="529"/>
      <c r="AI63" s="529"/>
      <c r="AJ63" s="529"/>
      <c r="AK63" s="529"/>
      <c r="AL63" s="529"/>
      <c r="AM63" s="529"/>
      <c r="AN63" s="530"/>
    </row>
    <row r="64" spans="1:40" ht="20.100000000000001" customHeight="1">
      <c r="A64" s="143" t="s">
        <v>171</v>
      </c>
      <c r="B64" s="261" t="s">
        <v>67</v>
      </c>
      <c r="C64" s="226" t="s">
        <v>68</v>
      </c>
      <c r="D64" s="19"/>
      <c r="E64" s="489" t="s">
        <v>68</v>
      </c>
      <c r="F64" s="490" t="s">
        <v>171</v>
      </c>
      <c r="G64" s="491" t="s">
        <v>67</v>
      </c>
      <c r="H64" s="492" t="s">
        <v>1230</v>
      </c>
      <c r="I64" s="493">
        <v>13008</v>
      </c>
      <c r="K64" s="195" t="s">
        <v>389</v>
      </c>
      <c r="L64" s="196" t="s">
        <v>522</v>
      </c>
      <c r="M64" s="197" t="s">
        <v>273</v>
      </c>
      <c r="O64" s="184"/>
      <c r="P64" s="155" t="s">
        <v>566</v>
      </c>
      <c r="R64" s="528"/>
      <c r="S64" s="529"/>
      <c r="T64" s="529"/>
      <c r="U64" s="529" t="s">
        <v>54</v>
      </c>
      <c r="V64" s="529"/>
      <c r="W64" s="529"/>
      <c r="X64" s="529"/>
      <c r="Y64" s="529"/>
      <c r="Z64" s="529"/>
      <c r="AA64" s="529"/>
      <c r="AB64" s="530"/>
      <c r="AD64" s="528"/>
      <c r="AE64" s="529"/>
      <c r="AF64" s="529"/>
      <c r="AG64" s="529"/>
      <c r="AH64" s="529"/>
      <c r="AI64" s="529"/>
      <c r="AJ64" s="529"/>
      <c r="AK64" s="529"/>
      <c r="AL64" s="529"/>
      <c r="AM64" s="529"/>
      <c r="AN64" s="530"/>
    </row>
    <row r="65" spans="1:40" ht="20.100000000000001" customHeight="1" thickBot="1">
      <c r="A65" s="230" t="s">
        <v>1098</v>
      </c>
      <c r="B65" s="257" t="s">
        <v>67</v>
      </c>
      <c r="C65" s="231" t="s">
        <v>68</v>
      </c>
      <c r="D65" s="19"/>
      <c r="E65" s="479" t="s">
        <v>68</v>
      </c>
      <c r="F65" s="221" t="s">
        <v>1098</v>
      </c>
      <c r="G65" s="481" t="s">
        <v>67</v>
      </c>
      <c r="H65" s="482" t="s">
        <v>1231</v>
      </c>
      <c r="I65" s="496">
        <v>13009</v>
      </c>
      <c r="K65" s="195" t="s">
        <v>390</v>
      </c>
      <c r="L65" s="196" t="s">
        <v>521</v>
      </c>
      <c r="M65" s="197" t="s">
        <v>857</v>
      </c>
      <c r="O65" s="184" t="s">
        <v>637</v>
      </c>
      <c r="P65" s="156" t="s">
        <v>744</v>
      </c>
      <c r="R65" s="528"/>
      <c r="S65" s="529"/>
      <c r="T65" s="529"/>
      <c r="U65" s="529" t="s">
        <v>55</v>
      </c>
      <c r="V65" s="529"/>
      <c r="W65" s="529"/>
      <c r="X65" s="529"/>
      <c r="Y65" s="529"/>
      <c r="Z65" s="529"/>
      <c r="AA65" s="529"/>
      <c r="AB65" s="530"/>
      <c r="AD65" s="528"/>
      <c r="AE65" s="529"/>
      <c r="AF65" s="529"/>
      <c r="AG65" s="529"/>
      <c r="AH65" s="529"/>
      <c r="AI65" s="529"/>
      <c r="AJ65" s="529"/>
      <c r="AK65" s="529"/>
      <c r="AL65" s="529"/>
      <c r="AM65" s="529"/>
      <c r="AN65" s="530"/>
    </row>
    <row r="66" spans="1:40" ht="20.100000000000001" customHeight="1">
      <c r="A66" s="141" t="s">
        <v>70</v>
      </c>
      <c r="B66" s="258" t="s">
        <v>71</v>
      </c>
      <c r="C66" s="233" t="s">
        <v>929</v>
      </c>
      <c r="D66" s="19"/>
      <c r="E66" s="474" t="s">
        <v>929</v>
      </c>
      <c r="F66" s="217" t="s">
        <v>70</v>
      </c>
      <c r="G66" s="476" t="s">
        <v>71</v>
      </c>
      <c r="H66" s="477" t="s">
        <v>1232</v>
      </c>
      <c r="I66" s="497" t="s">
        <v>1233</v>
      </c>
      <c r="K66" s="195" t="s">
        <v>391</v>
      </c>
      <c r="L66" s="196" t="s">
        <v>521</v>
      </c>
      <c r="M66" s="197" t="s">
        <v>392</v>
      </c>
      <c r="O66" s="184" t="s">
        <v>638</v>
      </c>
      <c r="P66" s="156" t="s">
        <v>743</v>
      </c>
      <c r="R66" s="528"/>
      <c r="S66" s="529"/>
      <c r="T66" s="529"/>
      <c r="U66" s="529" t="s">
        <v>56</v>
      </c>
      <c r="V66" s="529"/>
      <c r="W66" s="529"/>
      <c r="X66" s="529"/>
      <c r="Y66" s="529"/>
      <c r="Z66" s="529"/>
      <c r="AA66" s="529"/>
      <c r="AB66" s="530"/>
      <c r="AD66" s="528"/>
      <c r="AE66" s="529"/>
      <c r="AF66" s="529"/>
      <c r="AG66" s="529"/>
      <c r="AH66" s="529"/>
      <c r="AI66" s="529"/>
      <c r="AJ66" s="529"/>
      <c r="AK66" s="529"/>
      <c r="AL66" s="529"/>
      <c r="AM66" s="529"/>
      <c r="AN66" s="530"/>
    </row>
    <row r="67" spans="1:40" ht="20.100000000000001" customHeight="1">
      <c r="A67" s="143" t="s">
        <v>72</v>
      </c>
      <c r="B67" s="261" t="s">
        <v>71</v>
      </c>
      <c r="C67" s="226" t="s">
        <v>929</v>
      </c>
      <c r="D67" s="19"/>
      <c r="E67" s="489" t="s">
        <v>929</v>
      </c>
      <c r="F67" s="219" t="s">
        <v>72</v>
      </c>
      <c r="G67" s="491" t="s">
        <v>71</v>
      </c>
      <c r="H67" s="492" t="s">
        <v>1234</v>
      </c>
      <c r="I67" s="498" t="s">
        <v>1235</v>
      </c>
      <c r="K67" s="195" t="s">
        <v>393</v>
      </c>
      <c r="L67" s="196" t="s">
        <v>521</v>
      </c>
      <c r="M67" s="197" t="s">
        <v>394</v>
      </c>
      <c r="O67" s="184" t="s">
        <v>639</v>
      </c>
      <c r="P67" s="156" t="s">
        <v>742</v>
      </c>
      <c r="R67" s="528"/>
      <c r="S67" s="529"/>
      <c r="T67" s="529"/>
      <c r="U67" s="529" t="s">
        <v>57</v>
      </c>
      <c r="V67" s="529"/>
      <c r="W67" s="529"/>
      <c r="X67" s="529"/>
      <c r="Y67" s="529"/>
      <c r="Z67" s="529"/>
      <c r="AA67" s="529"/>
      <c r="AB67" s="530"/>
      <c r="AD67" s="528"/>
      <c r="AE67" s="529"/>
      <c r="AF67" s="529"/>
      <c r="AG67" s="529"/>
      <c r="AH67" s="529"/>
      <c r="AI67" s="529"/>
      <c r="AJ67" s="529"/>
      <c r="AK67" s="529"/>
      <c r="AL67" s="529"/>
      <c r="AM67" s="529"/>
      <c r="AN67" s="530"/>
    </row>
    <row r="68" spans="1:40" ht="20.100000000000001" customHeight="1">
      <c r="A68" s="227" t="s">
        <v>73</v>
      </c>
      <c r="B68" s="261" t="s">
        <v>71</v>
      </c>
      <c r="C68" s="226" t="s">
        <v>929</v>
      </c>
      <c r="D68" s="19"/>
      <c r="E68" s="489" t="s">
        <v>929</v>
      </c>
      <c r="F68" s="219" t="s">
        <v>73</v>
      </c>
      <c r="G68" s="491" t="s">
        <v>71</v>
      </c>
      <c r="H68" s="492" t="s">
        <v>1236</v>
      </c>
      <c r="I68" s="498" t="s">
        <v>1237</v>
      </c>
      <c r="K68" s="195" t="s">
        <v>395</v>
      </c>
      <c r="L68" s="196" t="s">
        <v>521</v>
      </c>
      <c r="M68" s="197" t="s">
        <v>396</v>
      </c>
      <c r="O68" s="184" t="s">
        <v>640</v>
      </c>
      <c r="P68" s="156" t="s">
        <v>741</v>
      </c>
      <c r="R68" s="528"/>
      <c r="S68" s="529"/>
      <c r="T68" s="529"/>
      <c r="U68" s="529" t="s">
        <v>58</v>
      </c>
      <c r="V68" s="529"/>
      <c r="W68" s="529"/>
      <c r="X68" s="529"/>
      <c r="Y68" s="529"/>
      <c r="Z68" s="529"/>
      <c r="AA68" s="529"/>
      <c r="AB68" s="530"/>
      <c r="AD68" s="528"/>
      <c r="AE68" s="529"/>
      <c r="AF68" s="529"/>
      <c r="AG68" s="529"/>
      <c r="AH68" s="529"/>
      <c r="AI68" s="529"/>
      <c r="AJ68" s="529"/>
      <c r="AK68" s="529"/>
      <c r="AL68" s="529"/>
      <c r="AM68" s="529"/>
      <c r="AN68" s="530"/>
    </row>
    <row r="69" spans="1:40" ht="20.100000000000001" customHeight="1">
      <c r="A69" s="227" t="s">
        <v>218</v>
      </c>
      <c r="B69" s="261" t="s">
        <v>71</v>
      </c>
      <c r="C69" s="226" t="s">
        <v>929</v>
      </c>
      <c r="D69" s="19"/>
      <c r="E69" s="489" t="s">
        <v>929</v>
      </c>
      <c r="F69" s="219" t="s">
        <v>218</v>
      </c>
      <c r="G69" s="491" t="s">
        <v>71</v>
      </c>
      <c r="H69" s="492" t="s">
        <v>1238</v>
      </c>
      <c r="I69" s="498" t="s">
        <v>1239</v>
      </c>
      <c r="K69" s="195" t="s">
        <v>397</v>
      </c>
      <c r="L69" s="196" t="s">
        <v>521</v>
      </c>
      <c r="M69" s="197" t="s">
        <v>398</v>
      </c>
      <c r="O69" s="184" t="s">
        <v>795</v>
      </c>
      <c r="P69" s="156" t="s">
        <v>740</v>
      </c>
      <c r="R69" s="528"/>
      <c r="S69" s="529"/>
      <c r="T69" s="529"/>
      <c r="U69" s="529" t="s">
        <v>59</v>
      </c>
      <c r="V69" s="529"/>
      <c r="W69" s="529"/>
      <c r="X69" s="529"/>
      <c r="Y69" s="529"/>
      <c r="Z69" s="529"/>
      <c r="AA69" s="529"/>
      <c r="AB69" s="530"/>
      <c r="AD69" s="528"/>
      <c r="AE69" s="529"/>
      <c r="AF69" s="529"/>
      <c r="AG69" s="529"/>
      <c r="AH69" s="529"/>
      <c r="AI69" s="529"/>
      <c r="AJ69" s="529"/>
      <c r="AK69" s="529"/>
      <c r="AL69" s="529"/>
      <c r="AM69" s="529"/>
      <c r="AN69" s="530"/>
    </row>
    <row r="70" spans="1:40" ht="20.100000000000001" customHeight="1">
      <c r="A70" s="227" t="s">
        <v>202</v>
      </c>
      <c r="B70" s="261" t="s">
        <v>71</v>
      </c>
      <c r="C70" s="226" t="s">
        <v>929</v>
      </c>
      <c r="D70" s="19"/>
      <c r="E70" s="489" t="s">
        <v>929</v>
      </c>
      <c r="F70" s="219" t="s">
        <v>202</v>
      </c>
      <c r="G70" s="491" t="s">
        <v>71</v>
      </c>
      <c r="H70" s="492" t="s">
        <v>1240</v>
      </c>
      <c r="I70" s="498" t="s">
        <v>1241</v>
      </c>
      <c r="K70" s="195" t="s">
        <v>399</v>
      </c>
      <c r="L70" s="196" t="s">
        <v>521</v>
      </c>
      <c r="M70" s="197" t="s">
        <v>400</v>
      </c>
      <c r="O70" s="184" t="s">
        <v>641</v>
      </c>
      <c r="P70" s="156" t="s">
        <v>739</v>
      </c>
      <c r="R70" s="528"/>
      <c r="S70" s="529"/>
      <c r="T70" s="529"/>
      <c r="U70" s="529" t="s">
        <v>60</v>
      </c>
      <c r="V70" s="529"/>
      <c r="W70" s="529"/>
      <c r="X70" s="529"/>
      <c r="Y70" s="529"/>
      <c r="Z70" s="529"/>
      <c r="AA70" s="529"/>
      <c r="AB70" s="530"/>
      <c r="AD70" s="528"/>
      <c r="AE70" s="529"/>
      <c r="AF70" s="529"/>
      <c r="AG70" s="529"/>
      <c r="AH70" s="529"/>
      <c r="AI70" s="529"/>
      <c r="AJ70" s="529"/>
      <c r="AK70" s="529"/>
      <c r="AL70" s="529"/>
      <c r="AM70" s="529"/>
      <c r="AN70" s="530"/>
    </row>
    <row r="71" spans="1:40" ht="20.100000000000001" customHeight="1">
      <c r="A71" s="227" t="s">
        <v>74</v>
      </c>
      <c r="B71" s="261" t="s">
        <v>71</v>
      </c>
      <c r="C71" s="226" t="s">
        <v>929</v>
      </c>
      <c r="D71" s="19"/>
      <c r="E71" s="489" t="s">
        <v>929</v>
      </c>
      <c r="F71" s="219" t="s">
        <v>74</v>
      </c>
      <c r="G71" s="491" t="s">
        <v>71</v>
      </c>
      <c r="H71" s="492" t="s">
        <v>1242</v>
      </c>
      <c r="I71" s="498" t="s">
        <v>1243</v>
      </c>
      <c r="K71" s="195" t="s">
        <v>401</v>
      </c>
      <c r="L71" s="196" t="s">
        <v>521</v>
      </c>
      <c r="M71" s="197" t="s">
        <v>402</v>
      </c>
      <c r="O71" s="184" t="s">
        <v>796</v>
      </c>
      <c r="P71" s="156" t="s">
        <v>738</v>
      </c>
      <c r="R71" s="528"/>
      <c r="S71" s="529"/>
      <c r="T71" s="529"/>
      <c r="U71" s="529" t="s">
        <v>61</v>
      </c>
      <c r="V71" s="529"/>
      <c r="W71" s="529"/>
      <c r="X71" s="529"/>
      <c r="Y71" s="529"/>
      <c r="Z71" s="529"/>
      <c r="AA71" s="529"/>
      <c r="AB71" s="530"/>
      <c r="AD71" s="528"/>
      <c r="AE71" s="529"/>
      <c r="AF71" s="529"/>
      <c r="AG71" s="529"/>
      <c r="AH71" s="529"/>
      <c r="AI71" s="529"/>
      <c r="AJ71" s="529"/>
      <c r="AK71" s="529"/>
      <c r="AL71" s="529"/>
      <c r="AM71" s="529"/>
      <c r="AN71" s="530"/>
    </row>
    <row r="72" spans="1:40" ht="20.100000000000001" customHeight="1" thickBot="1">
      <c r="A72" s="239" t="s">
        <v>75</v>
      </c>
      <c r="B72" s="259" t="s">
        <v>71</v>
      </c>
      <c r="C72" s="234" t="s">
        <v>929</v>
      </c>
      <c r="D72" s="19"/>
      <c r="E72" s="479" t="s">
        <v>929</v>
      </c>
      <c r="F72" s="480" t="s">
        <v>75</v>
      </c>
      <c r="G72" s="481" t="s">
        <v>71</v>
      </c>
      <c r="H72" s="482" t="s">
        <v>1244</v>
      </c>
      <c r="I72" s="483" t="s">
        <v>1245</v>
      </c>
      <c r="K72" s="195" t="s">
        <v>403</v>
      </c>
      <c r="L72" s="196" t="s">
        <v>521</v>
      </c>
      <c r="M72" s="197" t="s">
        <v>858</v>
      </c>
      <c r="O72" s="184"/>
      <c r="P72" s="154" t="s">
        <v>567</v>
      </c>
      <c r="R72" s="528"/>
      <c r="S72" s="529"/>
      <c r="T72" s="529"/>
      <c r="U72" s="529" t="s">
        <v>62</v>
      </c>
      <c r="V72" s="529"/>
      <c r="W72" s="529"/>
      <c r="X72" s="529"/>
      <c r="Y72" s="529"/>
      <c r="Z72" s="529"/>
      <c r="AA72" s="529"/>
      <c r="AB72" s="530"/>
      <c r="AD72" s="528"/>
      <c r="AE72" s="529"/>
      <c r="AF72" s="529"/>
      <c r="AG72" s="529"/>
      <c r="AH72" s="529"/>
      <c r="AI72" s="529"/>
      <c r="AJ72" s="529"/>
      <c r="AK72" s="529"/>
      <c r="AL72" s="529"/>
      <c r="AM72" s="529"/>
      <c r="AN72" s="530"/>
    </row>
    <row r="73" spans="1:40" ht="20.100000000000001" customHeight="1">
      <c r="A73" s="240" t="s">
        <v>201</v>
      </c>
      <c r="B73" s="258" t="s">
        <v>219</v>
      </c>
      <c r="C73" s="233" t="s">
        <v>986</v>
      </c>
      <c r="D73" s="19"/>
      <c r="E73" s="474" t="s">
        <v>986</v>
      </c>
      <c r="F73" s="475" t="s">
        <v>201</v>
      </c>
      <c r="G73" s="476" t="s">
        <v>219</v>
      </c>
      <c r="H73" s="477" t="s">
        <v>1246</v>
      </c>
      <c r="I73" s="478" t="s">
        <v>1247</v>
      </c>
      <c r="K73" s="195" t="s">
        <v>404</v>
      </c>
      <c r="L73" s="196" t="s">
        <v>521</v>
      </c>
      <c r="M73" s="197" t="s">
        <v>405</v>
      </c>
      <c r="O73" s="184"/>
      <c r="P73" s="155" t="s">
        <v>568</v>
      </c>
      <c r="R73" s="528"/>
      <c r="S73" s="529"/>
      <c r="T73" s="529"/>
      <c r="U73" s="529" t="s">
        <v>63</v>
      </c>
      <c r="V73" s="529"/>
      <c r="W73" s="529"/>
      <c r="X73" s="529"/>
      <c r="Y73" s="529"/>
      <c r="Z73" s="529"/>
      <c r="AA73" s="529"/>
      <c r="AB73" s="530"/>
      <c r="AD73" s="528"/>
      <c r="AE73" s="529"/>
      <c r="AF73" s="529"/>
      <c r="AG73" s="529"/>
      <c r="AH73" s="529"/>
      <c r="AI73" s="529"/>
      <c r="AJ73" s="529"/>
      <c r="AK73" s="529"/>
      <c r="AL73" s="529"/>
      <c r="AM73" s="529"/>
      <c r="AN73" s="530"/>
    </row>
    <row r="74" spans="1:40" ht="20.100000000000001" customHeight="1" thickBot="1">
      <c r="A74" s="227" t="s">
        <v>925</v>
      </c>
      <c r="B74" s="261" t="s">
        <v>219</v>
      </c>
      <c r="C74" s="226" t="s">
        <v>986</v>
      </c>
      <c r="D74" s="19"/>
      <c r="E74" s="489" t="s">
        <v>986</v>
      </c>
      <c r="F74" s="490" t="s">
        <v>925</v>
      </c>
      <c r="G74" s="491" t="s">
        <v>219</v>
      </c>
      <c r="H74" s="492" t="s">
        <v>1248</v>
      </c>
      <c r="I74" s="493" t="s">
        <v>1249</v>
      </c>
      <c r="K74" s="204" t="s">
        <v>406</v>
      </c>
      <c r="L74" s="205" t="s">
        <v>521</v>
      </c>
      <c r="M74" s="206" t="s">
        <v>407</v>
      </c>
      <c r="O74" s="184" t="s">
        <v>642</v>
      </c>
      <c r="P74" s="156" t="s">
        <v>737</v>
      </c>
      <c r="R74" s="528"/>
      <c r="S74" s="529"/>
      <c r="T74" s="529"/>
      <c r="U74" s="529" t="s">
        <v>64</v>
      </c>
      <c r="V74" s="529"/>
      <c r="W74" s="529"/>
      <c r="X74" s="529"/>
      <c r="Y74" s="529"/>
      <c r="Z74" s="529"/>
      <c r="AA74" s="529"/>
      <c r="AB74" s="530"/>
      <c r="AD74" s="528"/>
      <c r="AE74" s="529"/>
      <c r="AF74" s="529"/>
      <c r="AG74" s="529"/>
      <c r="AH74" s="529"/>
      <c r="AI74" s="529"/>
      <c r="AJ74" s="529"/>
      <c r="AK74" s="529"/>
      <c r="AL74" s="529"/>
      <c r="AM74" s="529"/>
      <c r="AN74" s="530"/>
    </row>
    <row r="75" spans="1:40" ht="20.100000000000001" customHeight="1" thickBot="1">
      <c r="A75" s="142" t="s">
        <v>220</v>
      </c>
      <c r="B75" s="259" t="s">
        <v>219</v>
      </c>
      <c r="C75" s="234" t="s">
        <v>986</v>
      </c>
      <c r="D75" s="19"/>
      <c r="E75" s="479" t="s">
        <v>986</v>
      </c>
      <c r="F75" s="480" t="s">
        <v>220</v>
      </c>
      <c r="G75" s="481" t="s">
        <v>219</v>
      </c>
      <c r="H75" s="482" t="s">
        <v>1250</v>
      </c>
      <c r="I75" s="483" t="s">
        <v>1251</v>
      </c>
      <c r="K75" s="192" t="s">
        <v>408</v>
      </c>
      <c r="L75" s="193" t="s">
        <v>523</v>
      </c>
      <c r="M75" s="194" t="s">
        <v>859</v>
      </c>
      <c r="O75" s="184"/>
      <c r="P75" s="155" t="s">
        <v>569</v>
      </c>
      <c r="R75" s="528"/>
      <c r="S75" s="529"/>
      <c r="T75" s="529"/>
      <c r="U75" s="529" t="s">
        <v>167</v>
      </c>
      <c r="V75" s="529"/>
      <c r="W75" s="529"/>
      <c r="X75" s="529"/>
      <c r="Y75" s="529"/>
      <c r="Z75" s="529"/>
      <c r="AA75" s="529"/>
      <c r="AB75" s="530"/>
      <c r="AD75" s="528"/>
      <c r="AE75" s="529"/>
      <c r="AF75" s="529"/>
      <c r="AG75" s="529"/>
      <c r="AH75" s="529"/>
      <c r="AI75" s="529"/>
      <c r="AJ75" s="529"/>
      <c r="AK75" s="529"/>
      <c r="AL75" s="529"/>
      <c r="AM75" s="529"/>
      <c r="AN75" s="530"/>
    </row>
    <row r="76" spans="1:40" ht="20.100000000000001" customHeight="1" thickBot="1">
      <c r="A76" s="142" t="s">
        <v>1099</v>
      </c>
      <c r="B76" s="259" t="s">
        <v>219</v>
      </c>
      <c r="C76" s="234" t="s">
        <v>1099</v>
      </c>
      <c r="D76" s="19"/>
      <c r="E76" s="474" t="s">
        <v>1099</v>
      </c>
      <c r="F76" s="475" t="s">
        <v>1099</v>
      </c>
      <c r="G76" s="476" t="s">
        <v>219</v>
      </c>
      <c r="H76" s="477" t="s">
        <v>1252</v>
      </c>
      <c r="I76" s="478" t="s">
        <v>1253</v>
      </c>
      <c r="K76" s="195" t="s">
        <v>409</v>
      </c>
      <c r="L76" s="196" t="s">
        <v>523</v>
      </c>
      <c r="M76" s="197" t="s">
        <v>410</v>
      </c>
      <c r="O76" s="184" t="s">
        <v>643</v>
      </c>
      <c r="P76" s="156" t="s">
        <v>736</v>
      </c>
      <c r="R76" s="528"/>
      <c r="S76" s="529"/>
      <c r="T76" s="529"/>
      <c r="U76" s="529" t="s">
        <v>170</v>
      </c>
      <c r="V76" s="529"/>
      <c r="W76" s="529"/>
      <c r="X76" s="529"/>
      <c r="Y76" s="529"/>
      <c r="Z76" s="529"/>
      <c r="AA76" s="529"/>
      <c r="AB76" s="530"/>
      <c r="AD76" s="528"/>
      <c r="AE76" s="529"/>
      <c r="AF76" s="529"/>
      <c r="AG76" s="529"/>
      <c r="AH76" s="529"/>
      <c r="AI76" s="529"/>
      <c r="AJ76" s="529"/>
      <c r="AK76" s="529"/>
      <c r="AL76" s="529"/>
      <c r="AM76" s="529"/>
      <c r="AN76" s="530"/>
    </row>
    <row r="77" spans="1:40" ht="20.100000000000001" customHeight="1">
      <c r="A77" s="141" t="s">
        <v>182</v>
      </c>
      <c r="B77" s="258" t="s">
        <v>219</v>
      </c>
      <c r="C77" s="233" t="s">
        <v>107</v>
      </c>
      <c r="D77" s="19"/>
      <c r="E77" s="474" t="s">
        <v>107</v>
      </c>
      <c r="F77" s="475" t="s">
        <v>182</v>
      </c>
      <c r="G77" s="476" t="s">
        <v>219</v>
      </c>
      <c r="H77" s="477" t="s">
        <v>1254</v>
      </c>
      <c r="I77" s="478" t="s">
        <v>1255</v>
      </c>
      <c r="K77" s="195" t="s">
        <v>411</v>
      </c>
      <c r="L77" s="196" t="s">
        <v>523</v>
      </c>
      <c r="M77" s="197" t="s">
        <v>860</v>
      </c>
      <c r="O77" s="184"/>
      <c r="P77" s="155" t="s">
        <v>570</v>
      </c>
      <c r="R77" s="528"/>
      <c r="S77" s="529"/>
      <c r="T77" s="529"/>
      <c r="U77" s="529" t="s">
        <v>839</v>
      </c>
      <c r="V77" s="529"/>
      <c r="W77" s="529"/>
      <c r="X77" s="529"/>
      <c r="Y77" s="529"/>
      <c r="Z77" s="529"/>
      <c r="AA77" s="529"/>
      <c r="AB77" s="530"/>
      <c r="AD77" s="528"/>
      <c r="AE77" s="529"/>
      <c r="AF77" s="529"/>
      <c r="AG77" s="529"/>
      <c r="AH77" s="529"/>
      <c r="AI77" s="529"/>
      <c r="AJ77" s="529"/>
      <c r="AK77" s="529"/>
      <c r="AL77" s="529"/>
      <c r="AM77" s="529"/>
      <c r="AN77" s="530"/>
    </row>
    <row r="78" spans="1:40" ht="20.100000000000001" customHeight="1">
      <c r="A78" s="143" t="s">
        <v>987</v>
      </c>
      <c r="B78" s="261" t="s">
        <v>219</v>
      </c>
      <c r="C78" s="226" t="s">
        <v>107</v>
      </c>
      <c r="D78" s="19"/>
      <c r="E78" s="489" t="s">
        <v>107</v>
      </c>
      <c r="F78" s="219" t="s">
        <v>987</v>
      </c>
      <c r="G78" s="491" t="s">
        <v>219</v>
      </c>
      <c r="H78" s="492" t="s">
        <v>1256</v>
      </c>
      <c r="I78" s="493" t="s">
        <v>1257</v>
      </c>
      <c r="K78" s="195" t="s">
        <v>412</v>
      </c>
      <c r="L78" s="196" t="s">
        <v>523</v>
      </c>
      <c r="M78" s="197" t="s">
        <v>861</v>
      </c>
      <c r="O78" s="184" t="s">
        <v>644</v>
      </c>
      <c r="P78" s="156" t="s">
        <v>735</v>
      </c>
      <c r="R78" s="528"/>
      <c r="S78" s="529"/>
      <c r="T78" s="529"/>
      <c r="U78" s="529" t="s">
        <v>840</v>
      </c>
      <c r="V78" s="529"/>
      <c r="W78" s="529"/>
      <c r="X78" s="529"/>
      <c r="Y78" s="529"/>
      <c r="Z78" s="529"/>
      <c r="AA78" s="529"/>
      <c r="AB78" s="530"/>
      <c r="AD78" s="528"/>
      <c r="AE78" s="529"/>
      <c r="AF78" s="529"/>
      <c r="AG78" s="529"/>
      <c r="AH78" s="529"/>
      <c r="AI78" s="529"/>
      <c r="AJ78" s="529"/>
      <c r="AK78" s="529"/>
      <c r="AL78" s="529"/>
      <c r="AM78" s="529"/>
      <c r="AN78" s="530"/>
    </row>
    <row r="79" spans="1:40" ht="20.100000000000001" customHeight="1">
      <c r="A79" s="143" t="s">
        <v>108</v>
      </c>
      <c r="B79" s="261" t="s">
        <v>219</v>
      </c>
      <c r="C79" s="226" t="s">
        <v>107</v>
      </c>
      <c r="D79" s="19"/>
      <c r="E79" s="489" t="s">
        <v>107</v>
      </c>
      <c r="F79" s="490" t="s">
        <v>108</v>
      </c>
      <c r="G79" s="491" t="s">
        <v>219</v>
      </c>
      <c r="H79" s="492" t="s">
        <v>1258</v>
      </c>
      <c r="I79" s="493" t="s">
        <v>1259</v>
      </c>
      <c r="K79" s="195" t="s">
        <v>413</v>
      </c>
      <c r="L79" s="196" t="s">
        <v>523</v>
      </c>
      <c r="M79" s="197" t="s">
        <v>862</v>
      </c>
      <c r="O79" s="184"/>
      <c r="P79" s="155" t="s">
        <v>571</v>
      </c>
      <c r="R79" s="528"/>
      <c r="S79" s="529"/>
      <c r="T79" s="529"/>
      <c r="U79" s="529" t="s">
        <v>842</v>
      </c>
      <c r="V79" s="529"/>
      <c r="W79" s="529"/>
      <c r="X79" s="529"/>
      <c r="Y79" s="529"/>
      <c r="Z79" s="529"/>
      <c r="AA79" s="529"/>
      <c r="AB79" s="530"/>
      <c r="AD79" s="528"/>
      <c r="AE79" s="529"/>
      <c r="AF79" s="529"/>
      <c r="AG79" s="529"/>
      <c r="AH79" s="529"/>
      <c r="AI79" s="529"/>
      <c r="AJ79" s="529"/>
      <c r="AK79" s="529"/>
      <c r="AL79" s="529"/>
      <c r="AM79" s="529"/>
      <c r="AN79" s="530"/>
    </row>
    <row r="80" spans="1:40" ht="20.100000000000001" customHeight="1">
      <c r="A80" s="143" t="s">
        <v>221</v>
      </c>
      <c r="B80" s="261" t="s">
        <v>219</v>
      </c>
      <c r="C80" s="226" t="s">
        <v>107</v>
      </c>
      <c r="D80" s="19"/>
      <c r="E80" s="489" t="s">
        <v>107</v>
      </c>
      <c r="F80" s="490" t="s">
        <v>221</v>
      </c>
      <c r="G80" s="491" t="s">
        <v>219</v>
      </c>
      <c r="H80" s="492" t="s">
        <v>1260</v>
      </c>
      <c r="I80" s="493" t="s">
        <v>1261</v>
      </c>
      <c r="K80" s="195" t="s">
        <v>414</v>
      </c>
      <c r="L80" s="196" t="s">
        <v>523</v>
      </c>
      <c r="M80" s="197" t="s">
        <v>863</v>
      </c>
      <c r="O80" s="184" t="s">
        <v>645</v>
      </c>
      <c r="P80" s="156" t="s">
        <v>734</v>
      </c>
      <c r="R80" s="528"/>
      <c r="S80" s="529"/>
      <c r="T80" s="529"/>
      <c r="U80" s="529" t="s">
        <v>843</v>
      </c>
      <c r="V80" s="529"/>
      <c r="W80" s="529"/>
      <c r="X80" s="529"/>
      <c r="Y80" s="529"/>
      <c r="Z80" s="529"/>
      <c r="AA80" s="529"/>
      <c r="AB80" s="530"/>
      <c r="AD80" s="528"/>
      <c r="AE80" s="529"/>
      <c r="AF80" s="529"/>
      <c r="AG80" s="529"/>
      <c r="AH80" s="529"/>
      <c r="AI80" s="529"/>
      <c r="AJ80" s="529"/>
      <c r="AK80" s="529"/>
      <c r="AL80" s="529"/>
      <c r="AM80" s="529"/>
      <c r="AN80" s="530"/>
    </row>
    <row r="81" spans="1:40" ht="20.100000000000001" customHeight="1">
      <c r="A81" s="227" t="s">
        <v>906</v>
      </c>
      <c r="B81" s="261" t="s">
        <v>219</v>
      </c>
      <c r="C81" s="226" t="s">
        <v>107</v>
      </c>
      <c r="D81" s="19"/>
      <c r="E81" s="489" t="s">
        <v>107</v>
      </c>
      <c r="F81" s="490" t="s">
        <v>906</v>
      </c>
      <c r="G81" s="491" t="s">
        <v>219</v>
      </c>
      <c r="H81" s="492" t="s">
        <v>1262</v>
      </c>
      <c r="I81" s="493" t="s">
        <v>1263</v>
      </c>
      <c r="K81" s="195" t="s">
        <v>415</v>
      </c>
      <c r="L81" s="196" t="s">
        <v>523</v>
      </c>
      <c r="M81" s="197" t="s">
        <v>864</v>
      </c>
      <c r="O81" s="184" t="s">
        <v>646</v>
      </c>
      <c r="P81" s="156" t="s">
        <v>733</v>
      </c>
      <c r="R81" s="528"/>
      <c r="S81" s="529"/>
      <c r="T81" s="529"/>
      <c r="U81" s="529"/>
      <c r="V81" s="529"/>
      <c r="W81" s="529"/>
      <c r="X81" s="529"/>
      <c r="Y81" s="529"/>
      <c r="Z81" s="529"/>
      <c r="AA81" s="529"/>
      <c r="AB81" s="530"/>
      <c r="AD81" s="528"/>
      <c r="AE81" s="529"/>
      <c r="AF81" s="529"/>
      <c r="AG81" s="529"/>
      <c r="AH81" s="529"/>
      <c r="AI81" s="529"/>
      <c r="AJ81" s="529"/>
      <c r="AK81" s="529"/>
      <c r="AL81" s="529"/>
      <c r="AM81" s="529"/>
      <c r="AN81" s="530"/>
    </row>
    <row r="82" spans="1:40" ht="20.100000000000001" customHeight="1" thickBot="1">
      <c r="A82" s="230" t="s">
        <v>109</v>
      </c>
      <c r="B82" s="257" t="s">
        <v>219</v>
      </c>
      <c r="C82" s="231" t="s">
        <v>107</v>
      </c>
      <c r="D82" s="19"/>
      <c r="E82" s="479" t="s">
        <v>107</v>
      </c>
      <c r="F82" s="480" t="s">
        <v>109</v>
      </c>
      <c r="G82" s="481" t="s">
        <v>219</v>
      </c>
      <c r="H82" s="482" t="s">
        <v>1264</v>
      </c>
      <c r="I82" s="483" t="s">
        <v>1265</v>
      </c>
      <c r="K82" s="195" t="s">
        <v>416</v>
      </c>
      <c r="L82" s="196" t="s">
        <v>523</v>
      </c>
      <c r="M82" s="197" t="s">
        <v>865</v>
      </c>
      <c r="O82" s="184"/>
      <c r="P82" s="155" t="s">
        <v>572</v>
      </c>
      <c r="R82" s="531"/>
      <c r="S82" s="532"/>
      <c r="T82" s="532"/>
      <c r="U82" s="532"/>
      <c r="V82" s="532"/>
      <c r="W82" s="532"/>
      <c r="X82" s="532"/>
      <c r="Y82" s="532"/>
      <c r="Z82" s="529"/>
      <c r="AA82" s="532"/>
      <c r="AB82" s="533"/>
      <c r="AD82" s="531"/>
      <c r="AE82" s="532"/>
      <c r="AF82" s="532"/>
      <c r="AG82" s="532"/>
      <c r="AH82" s="532"/>
      <c r="AI82" s="532"/>
      <c r="AJ82" s="532"/>
      <c r="AK82" s="532"/>
      <c r="AL82" s="532"/>
      <c r="AM82" s="532"/>
      <c r="AN82" s="533"/>
    </row>
    <row r="83" spans="1:40" ht="20.100000000000001" customHeight="1" thickBot="1">
      <c r="A83" s="141" t="s">
        <v>15</v>
      </c>
      <c r="B83" s="258" t="s">
        <v>9</v>
      </c>
      <c r="C83" s="233" t="s">
        <v>16</v>
      </c>
      <c r="D83" s="19"/>
      <c r="E83" s="474" t="s">
        <v>16</v>
      </c>
      <c r="F83" s="217" t="s">
        <v>15</v>
      </c>
      <c r="G83" s="476" t="s">
        <v>9</v>
      </c>
      <c r="H83" s="477" t="s">
        <v>1266</v>
      </c>
      <c r="I83" s="478" t="s">
        <v>1267</v>
      </c>
      <c r="K83" s="210" t="s">
        <v>417</v>
      </c>
      <c r="L83" s="196" t="s">
        <v>523</v>
      </c>
      <c r="M83" s="148" t="s">
        <v>961</v>
      </c>
      <c r="O83" s="184" t="s">
        <v>797</v>
      </c>
      <c r="P83" s="156" t="s">
        <v>732</v>
      </c>
      <c r="Z83" s="532"/>
    </row>
    <row r="84" spans="1:40" ht="20.100000000000001" customHeight="1">
      <c r="A84" s="143" t="s">
        <v>17</v>
      </c>
      <c r="B84" s="261" t="s">
        <v>9</v>
      </c>
      <c r="C84" s="226" t="s">
        <v>16</v>
      </c>
      <c r="D84" s="19"/>
      <c r="E84" s="489" t="s">
        <v>16</v>
      </c>
      <c r="F84" s="490" t="s">
        <v>17</v>
      </c>
      <c r="G84" s="491" t="s">
        <v>9</v>
      </c>
      <c r="H84" s="492" t="s">
        <v>1268</v>
      </c>
      <c r="I84" s="493" t="s">
        <v>1269</v>
      </c>
      <c r="K84" s="195" t="s">
        <v>952</v>
      </c>
      <c r="L84" s="196" t="s">
        <v>523</v>
      </c>
      <c r="M84" s="197" t="s">
        <v>962</v>
      </c>
      <c r="O84" s="184"/>
      <c r="P84" s="155" t="s">
        <v>573</v>
      </c>
    </row>
    <row r="85" spans="1:40" ht="20.100000000000001" customHeight="1">
      <c r="A85" s="143" t="s">
        <v>65</v>
      </c>
      <c r="B85" s="261" t="s">
        <v>9</v>
      </c>
      <c r="C85" s="226" t="s">
        <v>16</v>
      </c>
      <c r="D85" s="19"/>
      <c r="E85" s="489" t="s">
        <v>16</v>
      </c>
      <c r="F85" s="490" t="s">
        <v>65</v>
      </c>
      <c r="G85" s="491" t="s">
        <v>9</v>
      </c>
      <c r="H85" s="492" t="s">
        <v>1270</v>
      </c>
      <c r="I85" s="493" t="s">
        <v>1271</v>
      </c>
      <c r="K85" s="195" t="s">
        <v>951</v>
      </c>
      <c r="L85" s="196" t="s">
        <v>523</v>
      </c>
      <c r="M85" s="197" t="s">
        <v>963</v>
      </c>
      <c r="O85" s="184" t="s">
        <v>647</v>
      </c>
      <c r="P85" s="156" t="s">
        <v>731</v>
      </c>
    </row>
    <row r="86" spans="1:40" ht="20.100000000000001" customHeight="1">
      <c r="A86" s="227" t="s">
        <v>203</v>
      </c>
      <c r="B86" s="261" t="s">
        <v>9</v>
      </c>
      <c r="C86" s="226" t="s">
        <v>16</v>
      </c>
      <c r="D86" s="19"/>
      <c r="E86" s="489" t="s">
        <v>16</v>
      </c>
      <c r="F86" s="490" t="s">
        <v>203</v>
      </c>
      <c r="G86" s="491" t="s">
        <v>9</v>
      </c>
      <c r="H86" s="492" t="s">
        <v>1272</v>
      </c>
      <c r="I86" s="493" t="s">
        <v>1273</v>
      </c>
      <c r="K86" s="195" t="s">
        <v>953</v>
      </c>
      <c r="L86" s="196" t="s">
        <v>523</v>
      </c>
      <c r="M86" s="197" t="s">
        <v>964</v>
      </c>
      <c r="O86" s="184"/>
      <c r="P86" s="155" t="s">
        <v>954</v>
      </c>
    </row>
    <row r="87" spans="1:40" ht="20.100000000000001" customHeight="1">
      <c r="A87" s="143" t="s">
        <v>908</v>
      </c>
      <c r="B87" s="261" t="s">
        <v>9</v>
      </c>
      <c r="C87" s="226" t="s">
        <v>16</v>
      </c>
      <c r="D87" s="19"/>
      <c r="E87" s="489" t="s">
        <v>16</v>
      </c>
      <c r="F87" s="490" t="s">
        <v>908</v>
      </c>
      <c r="G87" s="491" t="s">
        <v>9</v>
      </c>
      <c r="H87" s="492" t="s">
        <v>1274</v>
      </c>
      <c r="I87" s="493" t="s">
        <v>1275</v>
      </c>
      <c r="K87" s="195" t="s">
        <v>965</v>
      </c>
      <c r="L87" s="196" t="s">
        <v>523</v>
      </c>
      <c r="M87" s="197" t="s">
        <v>973</v>
      </c>
      <c r="O87" s="184" t="s">
        <v>955</v>
      </c>
      <c r="P87" s="156" t="s">
        <v>956</v>
      </c>
    </row>
    <row r="88" spans="1:40" ht="20.100000000000001" customHeight="1" thickBot="1">
      <c r="A88" s="142" t="s">
        <v>66</v>
      </c>
      <c r="B88" s="259" t="s">
        <v>9</v>
      </c>
      <c r="C88" s="234" t="s">
        <v>16</v>
      </c>
      <c r="D88" s="19"/>
      <c r="E88" s="479" t="s">
        <v>16</v>
      </c>
      <c r="F88" s="480" t="s">
        <v>66</v>
      </c>
      <c r="G88" s="481" t="s">
        <v>9</v>
      </c>
      <c r="H88" s="482" t="s">
        <v>1276</v>
      </c>
      <c r="I88" s="483" t="s">
        <v>1277</v>
      </c>
      <c r="K88" s="198" t="s">
        <v>966</v>
      </c>
      <c r="L88" s="199" t="s">
        <v>523</v>
      </c>
      <c r="M88" s="200" t="s">
        <v>967</v>
      </c>
      <c r="O88" s="184"/>
      <c r="P88" s="372" t="s">
        <v>1052</v>
      </c>
    </row>
    <row r="89" spans="1:40" ht="20.100000000000001" customHeight="1">
      <c r="A89" s="141" t="s">
        <v>988</v>
      </c>
      <c r="B89" s="258" t="s">
        <v>22</v>
      </c>
      <c r="C89" s="233" t="s">
        <v>907</v>
      </c>
      <c r="D89" s="19"/>
      <c r="E89" s="474" t="s">
        <v>907</v>
      </c>
      <c r="F89" s="475" t="s">
        <v>988</v>
      </c>
      <c r="G89" s="476" t="s">
        <v>22</v>
      </c>
      <c r="H89" s="477" t="s">
        <v>1278</v>
      </c>
      <c r="I89" s="478" t="s">
        <v>1279</v>
      </c>
      <c r="K89" s="192" t="s">
        <v>418</v>
      </c>
      <c r="L89" s="193" t="s">
        <v>524</v>
      </c>
      <c r="M89" s="194" t="s">
        <v>866</v>
      </c>
      <c r="O89" s="184"/>
      <c r="P89" s="373" t="s">
        <v>1053</v>
      </c>
    </row>
    <row r="90" spans="1:40" ht="20.100000000000001" customHeight="1" thickBot="1">
      <c r="A90" s="142" t="s">
        <v>989</v>
      </c>
      <c r="B90" s="259" t="s">
        <v>22</v>
      </c>
      <c r="C90" s="234" t="s">
        <v>907</v>
      </c>
      <c r="D90" s="19"/>
      <c r="E90" s="479" t="s">
        <v>907</v>
      </c>
      <c r="F90" s="480" t="s">
        <v>989</v>
      </c>
      <c r="G90" s="481" t="s">
        <v>22</v>
      </c>
      <c r="H90" s="482" t="s">
        <v>1280</v>
      </c>
      <c r="I90" s="483" t="s">
        <v>1281</v>
      </c>
      <c r="K90" s="204" t="s">
        <v>419</v>
      </c>
      <c r="L90" s="205" t="s">
        <v>524</v>
      </c>
      <c r="M90" s="206" t="s">
        <v>867</v>
      </c>
      <c r="O90" s="184" t="s">
        <v>974</v>
      </c>
      <c r="P90" s="157" t="s">
        <v>1054</v>
      </c>
    </row>
    <row r="91" spans="1:40" ht="20.100000000000001" customHeight="1">
      <c r="A91" s="141" t="s">
        <v>205</v>
      </c>
      <c r="B91" s="258" t="s">
        <v>9</v>
      </c>
      <c r="C91" s="233" t="s">
        <v>196</v>
      </c>
      <c r="D91" s="19"/>
      <c r="E91" s="474" t="s">
        <v>196</v>
      </c>
      <c r="F91" s="475" t="s">
        <v>205</v>
      </c>
      <c r="G91" s="476" t="s">
        <v>9</v>
      </c>
      <c r="H91" s="477" t="s">
        <v>1282</v>
      </c>
      <c r="I91" s="478" t="s">
        <v>1283</v>
      </c>
      <c r="K91" s="192" t="s">
        <v>420</v>
      </c>
      <c r="L91" s="193" t="s">
        <v>525</v>
      </c>
      <c r="M91" s="194" t="s">
        <v>421</v>
      </c>
      <c r="O91" s="184"/>
      <c r="P91" s="153" t="s">
        <v>574</v>
      </c>
    </row>
    <row r="92" spans="1:40" ht="20.100000000000001" customHeight="1" thickBot="1">
      <c r="A92" s="143" t="s">
        <v>206</v>
      </c>
      <c r="B92" s="261" t="s">
        <v>9</v>
      </c>
      <c r="C92" s="226" t="s">
        <v>196</v>
      </c>
      <c r="D92" s="19"/>
      <c r="E92" s="489" t="s">
        <v>196</v>
      </c>
      <c r="F92" s="490" t="s">
        <v>206</v>
      </c>
      <c r="G92" s="491" t="s">
        <v>9</v>
      </c>
      <c r="H92" s="492" t="s">
        <v>1284</v>
      </c>
      <c r="I92" s="493" t="s">
        <v>1285</v>
      </c>
      <c r="K92" s="198" t="s">
        <v>422</v>
      </c>
      <c r="L92" s="199" t="s">
        <v>525</v>
      </c>
      <c r="M92" s="200" t="s">
        <v>423</v>
      </c>
      <c r="O92" s="184"/>
      <c r="P92" s="154" t="s">
        <v>575</v>
      </c>
    </row>
    <row r="93" spans="1:40" ht="20.100000000000001" customHeight="1" thickBot="1">
      <c r="A93" s="230" t="s">
        <v>207</v>
      </c>
      <c r="B93" s="257" t="s">
        <v>9</v>
      </c>
      <c r="C93" s="231" t="s">
        <v>196</v>
      </c>
      <c r="D93" s="19"/>
      <c r="E93" s="479" t="s">
        <v>196</v>
      </c>
      <c r="F93" s="480" t="s">
        <v>207</v>
      </c>
      <c r="G93" s="481" t="s">
        <v>9</v>
      </c>
      <c r="H93" s="482" t="s">
        <v>1286</v>
      </c>
      <c r="I93" s="483" t="s">
        <v>1287</v>
      </c>
      <c r="K93" s="192" t="s">
        <v>424</v>
      </c>
      <c r="L93" s="193" t="s">
        <v>526</v>
      </c>
      <c r="M93" s="194" t="s">
        <v>868</v>
      </c>
      <c r="O93" s="184"/>
      <c r="P93" s="155" t="s">
        <v>576</v>
      </c>
    </row>
    <row r="94" spans="1:40" ht="20.100000000000001" customHeight="1">
      <c r="A94" s="141" t="s">
        <v>192</v>
      </c>
      <c r="B94" s="258" t="s">
        <v>237</v>
      </c>
      <c r="C94" s="233" t="s">
        <v>223</v>
      </c>
      <c r="D94" s="19"/>
      <c r="E94" s="474" t="s">
        <v>223</v>
      </c>
      <c r="F94" s="475" t="s">
        <v>192</v>
      </c>
      <c r="G94" s="476" t="s">
        <v>237</v>
      </c>
      <c r="H94" s="477" t="s">
        <v>1288</v>
      </c>
      <c r="I94" s="478" t="s">
        <v>1289</v>
      </c>
      <c r="K94" s="195" t="s">
        <v>425</v>
      </c>
      <c r="L94" s="196" t="s">
        <v>526</v>
      </c>
      <c r="M94" s="197" t="s">
        <v>869</v>
      </c>
      <c r="O94" s="184" t="s">
        <v>648</v>
      </c>
      <c r="P94" s="156" t="s">
        <v>730</v>
      </c>
    </row>
    <row r="95" spans="1:40" ht="20.100000000000001" customHeight="1">
      <c r="A95" s="143" t="s">
        <v>224</v>
      </c>
      <c r="B95" s="261" t="s">
        <v>237</v>
      </c>
      <c r="C95" s="226" t="s">
        <v>223</v>
      </c>
      <c r="D95" s="19"/>
      <c r="E95" s="489" t="s">
        <v>223</v>
      </c>
      <c r="F95" s="490" t="s">
        <v>224</v>
      </c>
      <c r="G95" s="491" t="s">
        <v>237</v>
      </c>
      <c r="H95" s="492" t="s">
        <v>1290</v>
      </c>
      <c r="I95" s="493" t="s">
        <v>1291</v>
      </c>
      <c r="K95" s="195" t="s">
        <v>426</v>
      </c>
      <c r="L95" s="196" t="s">
        <v>526</v>
      </c>
      <c r="M95" s="197" t="s">
        <v>870</v>
      </c>
      <c r="O95" s="184" t="s">
        <v>649</v>
      </c>
      <c r="P95" s="156" t="s">
        <v>729</v>
      </c>
    </row>
    <row r="96" spans="1:40" ht="20.100000000000001" customHeight="1" thickBot="1">
      <c r="A96" s="142" t="s">
        <v>909</v>
      </c>
      <c r="B96" s="259" t="s">
        <v>237</v>
      </c>
      <c r="C96" s="234" t="s">
        <v>223</v>
      </c>
      <c r="D96" s="19"/>
      <c r="E96" s="479" t="s">
        <v>223</v>
      </c>
      <c r="F96" s="480" t="s">
        <v>909</v>
      </c>
      <c r="G96" s="481" t="s">
        <v>237</v>
      </c>
      <c r="H96" s="482" t="s">
        <v>1292</v>
      </c>
      <c r="I96" s="483" t="s">
        <v>1293</v>
      </c>
      <c r="K96" s="195" t="s">
        <v>427</v>
      </c>
      <c r="L96" s="196" t="s">
        <v>526</v>
      </c>
      <c r="M96" s="197" t="s">
        <v>871</v>
      </c>
      <c r="O96" s="184" t="s">
        <v>650</v>
      </c>
      <c r="P96" s="156" t="s">
        <v>728</v>
      </c>
    </row>
    <row r="97" spans="1:16" ht="20.100000000000001" customHeight="1" thickBot="1">
      <c r="A97" s="141" t="s">
        <v>991</v>
      </c>
      <c r="B97" s="258" t="s">
        <v>219</v>
      </c>
      <c r="C97" s="233" t="s">
        <v>990</v>
      </c>
      <c r="D97" s="19"/>
      <c r="E97" s="474" t="s">
        <v>990</v>
      </c>
      <c r="F97" s="475" t="s">
        <v>991</v>
      </c>
      <c r="G97" s="476" t="s">
        <v>219</v>
      </c>
      <c r="H97" s="477" t="s">
        <v>1294</v>
      </c>
      <c r="I97" s="478" t="s">
        <v>1295</v>
      </c>
      <c r="K97" s="198" t="s">
        <v>428</v>
      </c>
      <c r="L97" s="199" t="s">
        <v>526</v>
      </c>
      <c r="M97" s="200" t="s">
        <v>872</v>
      </c>
      <c r="O97" s="184" t="s">
        <v>651</v>
      </c>
      <c r="P97" s="156" t="s">
        <v>727</v>
      </c>
    </row>
    <row r="98" spans="1:16" ht="20.100000000000001" customHeight="1" thickBot="1">
      <c r="A98" s="142" t="s">
        <v>992</v>
      </c>
      <c r="B98" s="259" t="s">
        <v>219</v>
      </c>
      <c r="C98" s="234" t="s">
        <v>990</v>
      </c>
      <c r="D98" s="19"/>
      <c r="E98" s="479" t="s">
        <v>990</v>
      </c>
      <c r="F98" s="480" t="s">
        <v>992</v>
      </c>
      <c r="G98" s="481" t="s">
        <v>219</v>
      </c>
      <c r="H98" s="482" t="s">
        <v>1296</v>
      </c>
      <c r="I98" s="483">
        <v>20305</v>
      </c>
      <c r="K98" s="192" t="s">
        <v>429</v>
      </c>
      <c r="L98" s="193" t="s">
        <v>527</v>
      </c>
      <c r="M98" s="194" t="s">
        <v>430</v>
      </c>
      <c r="O98" s="184"/>
      <c r="P98" s="154" t="s">
        <v>975</v>
      </c>
    </row>
    <row r="99" spans="1:16" ht="20.100000000000001" customHeight="1">
      <c r="A99" s="141" t="s">
        <v>993</v>
      </c>
      <c r="B99" s="258" t="s">
        <v>92</v>
      </c>
      <c r="C99" s="233" t="s">
        <v>96</v>
      </c>
      <c r="D99" s="19"/>
      <c r="E99" s="474" t="s">
        <v>96</v>
      </c>
      <c r="F99" s="475" t="s">
        <v>993</v>
      </c>
      <c r="G99" s="476" t="s">
        <v>92</v>
      </c>
      <c r="H99" s="477" t="s">
        <v>1297</v>
      </c>
      <c r="I99" s="478" t="s">
        <v>1298</v>
      </c>
      <c r="K99" s="195" t="s">
        <v>431</v>
      </c>
      <c r="L99" s="196" t="s">
        <v>527</v>
      </c>
      <c r="M99" s="197" t="s">
        <v>432</v>
      </c>
      <c r="O99" s="184"/>
      <c r="P99" s="155" t="s">
        <v>976</v>
      </c>
    </row>
    <row r="100" spans="1:16" ht="20.100000000000001" customHeight="1">
      <c r="A100" s="143" t="s">
        <v>831</v>
      </c>
      <c r="B100" s="261" t="s">
        <v>92</v>
      </c>
      <c r="C100" s="226" t="s">
        <v>96</v>
      </c>
      <c r="D100" s="19"/>
      <c r="E100" s="489" t="s">
        <v>96</v>
      </c>
      <c r="F100" s="490" t="s">
        <v>831</v>
      </c>
      <c r="G100" s="491" t="s">
        <v>92</v>
      </c>
      <c r="H100" s="492" t="s">
        <v>1299</v>
      </c>
      <c r="I100" s="493" t="s">
        <v>1300</v>
      </c>
      <c r="K100" s="195" t="s">
        <v>433</v>
      </c>
      <c r="L100" s="196" t="s">
        <v>527</v>
      </c>
      <c r="M100" s="197" t="s">
        <v>434</v>
      </c>
      <c r="O100" s="184" t="s">
        <v>798</v>
      </c>
      <c r="P100" s="156" t="s">
        <v>799</v>
      </c>
    </row>
    <row r="101" spans="1:16" ht="20.100000000000001" customHeight="1" thickBot="1">
      <c r="A101" s="143" t="s">
        <v>97</v>
      </c>
      <c r="B101" s="261" t="s">
        <v>92</v>
      </c>
      <c r="C101" s="226" t="s">
        <v>96</v>
      </c>
      <c r="D101" s="19"/>
      <c r="E101" s="489" t="s">
        <v>96</v>
      </c>
      <c r="F101" s="490" t="s">
        <v>97</v>
      </c>
      <c r="G101" s="491" t="s">
        <v>92</v>
      </c>
      <c r="H101" s="492" t="s">
        <v>1301</v>
      </c>
      <c r="I101" s="493" t="s">
        <v>1302</v>
      </c>
      <c r="K101" s="198" t="s">
        <v>435</v>
      </c>
      <c r="L101" s="199" t="s">
        <v>527</v>
      </c>
      <c r="M101" s="200" t="s">
        <v>436</v>
      </c>
      <c r="O101" s="184"/>
      <c r="P101" s="153" t="s">
        <v>577</v>
      </c>
    </row>
    <row r="102" spans="1:16" ht="20.100000000000001" customHeight="1">
      <c r="A102" s="143" t="s">
        <v>204</v>
      </c>
      <c r="B102" s="261" t="s">
        <v>92</v>
      </c>
      <c r="C102" s="226" t="s">
        <v>96</v>
      </c>
      <c r="D102" s="19"/>
      <c r="E102" s="489" t="s">
        <v>96</v>
      </c>
      <c r="F102" s="490" t="s">
        <v>204</v>
      </c>
      <c r="G102" s="491" t="s">
        <v>92</v>
      </c>
      <c r="H102" s="492" t="s">
        <v>1303</v>
      </c>
      <c r="I102" s="493" t="s">
        <v>1304</v>
      </c>
      <c r="K102" s="192" t="s">
        <v>437</v>
      </c>
      <c r="L102" s="193" t="s">
        <v>528</v>
      </c>
      <c r="M102" s="194" t="s">
        <v>438</v>
      </c>
      <c r="O102" s="184"/>
      <c r="P102" s="154" t="s">
        <v>578</v>
      </c>
    </row>
    <row r="103" spans="1:16" ht="20.100000000000001" customHeight="1" thickBot="1">
      <c r="A103" s="142" t="s">
        <v>98</v>
      </c>
      <c r="B103" s="259" t="s">
        <v>92</v>
      </c>
      <c r="C103" s="234" t="s">
        <v>96</v>
      </c>
      <c r="D103" s="19"/>
      <c r="E103" s="479" t="s">
        <v>96</v>
      </c>
      <c r="F103" s="480" t="s">
        <v>98</v>
      </c>
      <c r="G103" s="481" t="s">
        <v>92</v>
      </c>
      <c r="H103" s="482" t="s">
        <v>1305</v>
      </c>
      <c r="I103" s="483" t="s">
        <v>1306</v>
      </c>
      <c r="K103" s="195" t="s">
        <v>439</v>
      </c>
      <c r="L103" s="196" t="s">
        <v>528</v>
      </c>
      <c r="M103" s="197" t="s">
        <v>440</v>
      </c>
      <c r="O103" s="184"/>
      <c r="P103" s="155" t="s">
        <v>579</v>
      </c>
    </row>
    <row r="104" spans="1:16" ht="20.100000000000001" customHeight="1" thickBot="1">
      <c r="A104" s="141" t="s">
        <v>225</v>
      </c>
      <c r="B104" s="258" t="s">
        <v>92</v>
      </c>
      <c r="C104" s="233" t="s">
        <v>94</v>
      </c>
      <c r="D104" s="19"/>
      <c r="E104" s="474" t="s">
        <v>94</v>
      </c>
      <c r="F104" s="475" t="s">
        <v>225</v>
      </c>
      <c r="G104" s="476" t="s">
        <v>92</v>
      </c>
      <c r="H104" s="477" t="s">
        <v>1307</v>
      </c>
      <c r="I104" s="478" t="s">
        <v>1308</v>
      </c>
      <c r="K104" s="204" t="s">
        <v>441</v>
      </c>
      <c r="L104" s="205" t="s">
        <v>528</v>
      </c>
      <c r="M104" s="206" t="s">
        <v>873</v>
      </c>
      <c r="O104" s="184" t="s">
        <v>652</v>
      </c>
      <c r="P104" s="156" t="s">
        <v>726</v>
      </c>
    </row>
    <row r="105" spans="1:16" ht="20.100000000000001" customHeight="1">
      <c r="A105" s="143" t="s">
        <v>95</v>
      </c>
      <c r="B105" s="261" t="s">
        <v>92</v>
      </c>
      <c r="C105" s="226" t="s">
        <v>94</v>
      </c>
      <c r="D105" s="19"/>
      <c r="E105" s="489" t="s">
        <v>94</v>
      </c>
      <c r="F105" s="490" t="s">
        <v>95</v>
      </c>
      <c r="G105" s="491" t="s">
        <v>92</v>
      </c>
      <c r="H105" s="492" t="s">
        <v>1309</v>
      </c>
      <c r="I105" s="493" t="s">
        <v>1310</v>
      </c>
      <c r="K105" s="192" t="s">
        <v>442</v>
      </c>
      <c r="L105" s="193" t="s">
        <v>529</v>
      </c>
      <c r="M105" s="194" t="s">
        <v>296</v>
      </c>
      <c r="O105" s="184" t="s">
        <v>800</v>
      </c>
      <c r="P105" s="156" t="s">
        <v>725</v>
      </c>
    </row>
    <row r="106" spans="1:16" ht="20.100000000000001" customHeight="1">
      <c r="A106" s="143" t="s">
        <v>994</v>
      </c>
      <c r="B106" s="261" t="s">
        <v>92</v>
      </c>
      <c r="C106" s="226" t="s">
        <v>94</v>
      </c>
      <c r="D106" s="19"/>
      <c r="E106" s="489" t="s">
        <v>94</v>
      </c>
      <c r="F106" s="490" t="s">
        <v>994</v>
      </c>
      <c r="G106" s="491" t="s">
        <v>92</v>
      </c>
      <c r="H106" s="492" t="s">
        <v>1311</v>
      </c>
      <c r="I106" s="493" t="s">
        <v>1312</v>
      </c>
      <c r="K106" s="195" t="s">
        <v>443</v>
      </c>
      <c r="L106" s="196" t="s">
        <v>529</v>
      </c>
      <c r="M106" s="197" t="s">
        <v>874</v>
      </c>
      <c r="O106" s="184" t="s">
        <v>653</v>
      </c>
      <c r="P106" s="156" t="s">
        <v>724</v>
      </c>
    </row>
    <row r="107" spans="1:16" ht="20.100000000000001" customHeight="1">
      <c r="A107" s="143" t="s">
        <v>226</v>
      </c>
      <c r="B107" s="261" t="s">
        <v>92</v>
      </c>
      <c r="C107" s="226" t="s">
        <v>94</v>
      </c>
      <c r="D107" s="19"/>
      <c r="E107" s="489" t="s">
        <v>94</v>
      </c>
      <c r="F107" s="490" t="s">
        <v>226</v>
      </c>
      <c r="G107" s="491" t="s">
        <v>92</v>
      </c>
      <c r="H107" s="492" t="s">
        <v>1313</v>
      </c>
      <c r="I107" s="493" t="s">
        <v>1314</v>
      </c>
      <c r="K107" s="195" t="s">
        <v>444</v>
      </c>
      <c r="L107" s="196" t="s">
        <v>529</v>
      </c>
      <c r="M107" s="197" t="s">
        <v>445</v>
      </c>
      <c r="O107" s="184"/>
      <c r="P107" s="154" t="s">
        <v>580</v>
      </c>
    </row>
    <row r="108" spans="1:16" ht="20.100000000000001" customHeight="1" thickBot="1">
      <c r="A108" s="142" t="s">
        <v>193</v>
      </c>
      <c r="B108" s="259" t="s">
        <v>92</v>
      </c>
      <c r="C108" s="234" t="s">
        <v>94</v>
      </c>
      <c r="D108" s="19"/>
      <c r="E108" s="479" t="s">
        <v>94</v>
      </c>
      <c r="F108" s="480" t="s">
        <v>193</v>
      </c>
      <c r="G108" s="481" t="s">
        <v>92</v>
      </c>
      <c r="H108" s="482" t="s">
        <v>1315</v>
      </c>
      <c r="I108" s="483" t="s">
        <v>1316</v>
      </c>
      <c r="K108" s="198" t="s">
        <v>968</v>
      </c>
      <c r="L108" s="199" t="s">
        <v>529</v>
      </c>
      <c r="M108" s="200" t="s">
        <v>969</v>
      </c>
      <c r="O108" s="184"/>
      <c r="P108" s="155" t="s">
        <v>581</v>
      </c>
    </row>
    <row r="109" spans="1:16" ht="20.100000000000001" customHeight="1" thickBot="1">
      <c r="A109" s="141" t="s">
        <v>227</v>
      </c>
      <c r="B109" s="258" t="s">
        <v>92</v>
      </c>
      <c r="C109" s="233" t="s">
        <v>228</v>
      </c>
      <c r="D109" s="19"/>
      <c r="E109" s="474" t="s">
        <v>228</v>
      </c>
      <c r="F109" s="475" t="s">
        <v>227</v>
      </c>
      <c r="G109" s="476" t="s">
        <v>92</v>
      </c>
      <c r="H109" s="477" t="s">
        <v>1317</v>
      </c>
      <c r="I109" s="478" t="s">
        <v>1318</v>
      </c>
      <c r="K109" s="207" t="s">
        <v>446</v>
      </c>
      <c r="L109" s="208" t="s">
        <v>530</v>
      </c>
      <c r="M109" s="209" t="s">
        <v>447</v>
      </c>
      <c r="O109" s="184" t="s">
        <v>801</v>
      </c>
      <c r="P109" s="156" t="s">
        <v>723</v>
      </c>
    </row>
    <row r="110" spans="1:16" ht="20.100000000000001" customHeight="1">
      <c r="A110" s="143" t="s">
        <v>93</v>
      </c>
      <c r="B110" s="261" t="s">
        <v>92</v>
      </c>
      <c r="C110" s="226" t="s">
        <v>228</v>
      </c>
      <c r="D110" s="19"/>
      <c r="E110" s="489" t="s">
        <v>228</v>
      </c>
      <c r="F110" s="490" t="s">
        <v>93</v>
      </c>
      <c r="G110" s="491" t="s">
        <v>92</v>
      </c>
      <c r="H110" s="492" t="s">
        <v>1319</v>
      </c>
      <c r="I110" s="493" t="s">
        <v>1320</v>
      </c>
      <c r="K110" s="192" t="s">
        <v>448</v>
      </c>
      <c r="L110" s="193" t="s">
        <v>531</v>
      </c>
      <c r="M110" s="194" t="s">
        <v>875</v>
      </c>
      <c r="O110" s="184" t="s">
        <v>654</v>
      </c>
      <c r="P110" s="156" t="s">
        <v>722</v>
      </c>
    </row>
    <row r="111" spans="1:16" ht="20.100000000000001" customHeight="1" thickBot="1">
      <c r="A111" s="143" t="s">
        <v>229</v>
      </c>
      <c r="B111" s="261" t="s">
        <v>92</v>
      </c>
      <c r="C111" s="226" t="s">
        <v>228</v>
      </c>
      <c r="D111" s="19"/>
      <c r="E111" s="489" t="s">
        <v>228</v>
      </c>
      <c r="F111" s="490" t="s">
        <v>229</v>
      </c>
      <c r="G111" s="491" t="s">
        <v>92</v>
      </c>
      <c r="H111" s="492" t="s">
        <v>1321</v>
      </c>
      <c r="I111" s="493" t="s">
        <v>1322</v>
      </c>
      <c r="K111" s="198" t="s">
        <v>449</v>
      </c>
      <c r="L111" s="199" t="s">
        <v>532</v>
      </c>
      <c r="M111" s="200" t="s">
        <v>450</v>
      </c>
      <c r="O111" s="184" t="s">
        <v>655</v>
      </c>
      <c r="P111" s="156" t="s">
        <v>721</v>
      </c>
    </row>
    <row r="112" spans="1:16" ht="20.100000000000001" customHeight="1" thickBot="1">
      <c r="A112" s="230" t="s">
        <v>230</v>
      </c>
      <c r="B112" s="257" t="s">
        <v>92</v>
      </c>
      <c r="C112" s="231" t="s">
        <v>228</v>
      </c>
      <c r="D112" s="19"/>
      <c r="E112" s="479" t="s">
        <v>228</v>
      </c>
      <c r="F112" s="480" t="s">
        <v>230</v>
      </c>
      <c r="G112" s="481" t="s">
        <v>92</v>
      </c>
      <c r="H112" s="494" t="s">
        <v>1323</v>
      </c>
      <c r="I112" s="495" t="s">
        <v>1324</v>
      </c>
      <c r="K112" s="207" t="s">
        <v>451</v>
      </c>
      <c r="L112" s="208" t="s">
        <v>533</v>
      </c>
      <c r="M112" s="209" t="s">
        <v>452</v>
      </c>
      <c r="O112" s="184"/>
      <c r="P112" s="153" t="s">
        <v>582</v>
      </c>
    </row>
    <row r="113" spans="1:16" ht="20.100000000000001" customHeight="1" thickBot="1">
      <c r="A113" s="309" t="s">
        <v>76</v>
      </c>
      <c r="B113" s="258" t="s">
        <v>71</v>
      </c>
      <c r="C113" s="233" t="s">
        <v>930</v>
      </c>
      <c r="D113" s="19"/>
      <c r="E113" s="474" t="s">
        <v>930</v>
      </c>
      <c r="F113" s="475" t="s">
        <v>76</v>
      </c>
      <c r="G113" s="476" t="s">
        <v>71</v>
      </c>
      <c r="H113" s="477" t="s">
        <v>1325</v>
      </c>
      <c r="I113" s="478" t="s">
        <v>1326</v>
      </c>
      <c r="K113" s="207" t="s">
        <v>453</v>
      </c>
      <c r="L113" s="208" t="s">
        <v>534</v>
      </c>
      <c r="M113" s="209" t="s">
        <v>454</v>
      </c>
      <c r="O113" s="184"/>
      <c r="P113" s="154" t="s">
        <v>583</v>
      </c>
    </row>
    <row r="114" spans="1:16" ht="20.100000000000001" customHeight="1">
      <c r="A114" s="307" t="s">
        <v>77</v>
      </c>
      <c r="B114" s="261" t="s">
        <v>71</v>
      </c>
      <c r="C114" s="226" t="s">
        <v>930</v>
      </c>
      <c r="D114" s="19"/>
      <c r="E114" s="489" t="s">
        <v>930</v>
      </c>
      <c r="F114" s="490" t="s">
        <v>77</v>
      </c>
      <c r="G114" s="491" t="s">
        <v>71</v>
      </c>
      <c r="H114" s="492" t="s">
        <v>1327</v>
      </c>
      <c r="I114" s="493" t="s">
        <v>1328</v>
      </c>
      <c r="K114" s="192" t="s">
        <v>455</v>
      </c>
      <c r="L114" s="193" t="s">
        <v>535</v>
      </c>
      <c r="M114" s="194" t="s">
        <v>456</v>
      </c>
      <c r="O114" s="184"/>
      <c r="P114" s="155" t="s">
        <v>584</v>
      </c>
    </row>
    <row r="115" spans="1:16" ht="20.100000000000001" customHeight="1">
      <c r="A115" s="307" t="s">
        <v>910</v>
      </c>
      <c r="B115" s="261" t="s">
        <v>71</v>
      </c>
      <c r="C115" s="226" t="s">
        <v>930</v>
      </c>
      <c r="D115" s="19"/>
      <c r="E115" s="489" t="s">
        <v>930</v>
      </c>
      <c r="F115" s="490" t="s">
        <v>910</v>
      </c>
      <c r="G115" s="491" t="s">
        <v>71</v>
      </c>
      <c r="H115" s="492" t="s">
        <v>1329</v>
      </c>
      <c r="I115" s="493" t="s">
        <v>1330</v>
      </c>
      <c r="K115" s="195" t="s">
        <v>457</v>
      </c>
      <c r="L115" s="196" t="s">
        <v>536</v>
      </c>
      <c r="M115" s="197" t="s">
        <v>876</v>
      </c>
      <c r="O115" s="184" t="s">
        <v>656</v>
      </c>
      <c r="P115" s="156" t="s">
        <v>720</v>
      </c>
    </row>
    <row r="116" spans="1:16" ht="20.100000000000001" customHeight="1">
      <c r="A116" s="307" t="s">
        <v>911</v>
      </c>
      <c r="B116" s="261" t="s">
        <v>71</v>
      </c>
      <c r="C116" s="226" t="s">
        <v>930</v>
      </c>
      <c r="D116" s="19"/>
      <c r="E116" s="489" t="s">
        <v>930</v>
      </c>
      <c r="F116" s="490" t="s">
        <v>911</v>
      </c>
      <c r="G116" s="491" t="s">
        <v>71</v>
      </c>
      <c r="H116" s="492" t="s">
        <v>1331</v>
      </c>
      <c r="I116" s="493" t="s">
        <v>1332</v>
      </c>
      <c r="K116" s="195" t="s">
        <v>458</v>
      </c>
      <c r="L116" s="196" t="s">
        <v>536</v>
      </c>
      <c r="M116" s="197" t="s">
        <v>877</v>
      </c>
      <c r="O116" s="184" t="s">
        <v>657</v>
      </c>
      <c r="P116" s="156" t="s">
        <v>977</v>
      </c>
    </row>
    <row r="117" spans="1:16" ht="20.100000000000001" customHeight="1" thickBot="1">
      <c r="A117" s="143" t="s">
        <v>172</v>
      </c>
      <c r="B117" s="261" t="s">
        <v>71</v>
      </c>
      <c r="C117" s="226" t="s">
        <v>930</v>
      </c>
      <c r="D117" s="19"/>
      <c r="E117" s="489" t="s">
        <v>930</v>
      </c>
      <c r="F117" s="490" t="s">
        <v>172</v>
      </c>
      <c r="G117" s="491" t="s">
        <v>71</v>
      </c>
      <c r="H117" s="492" t="s">
        <v>1333</v>
      </c>
      <c r="I117" s="493" t="s">
        <v>1334</v>
      </c>
      <c r="K117" s="198" t="s">
        <v>459</v>
      </c>
      <c r="L117" s="199" t="s">
        <v>536</v>
      </c>
      <c r="M117" s="200" t="s">
        <v>970</v>
      </c>
      <c r="O117" s="184" t="s">
        <v>802</v>
      </c>
      <c r="P117" s="156" t="s">
        <v>159</v>
      </c>
    </row>
    <row r="118" spans="1:16" ht="20.100000000000001" customHeight="1" thickBot="1">
      <c r="A118" s="143" t="s">
        <v>173</v>
      </c>
      <c r="B118" s="261" t="s">
        <v>71</v>
      </c>
      <c r="C118" s="226" t="s">
        <v>930</v>
      </c>
      <c r="D118" s="19"/>
      <c r="E118" s="489" t="s">
        <v>930</v>
      </c>
      <c r="F118" s="490" t="s">
        <v>173</v>
      </c>
      <c r="G118" s="491" t="s">
        <v>71</v>
      </c>
      <c r="H118" s="492" t="s">
        <v>1335</v>
      </c>
      <c r="I118" s="493" t="s">
        <v>1336</v>
      </c>
      <c r="K118" s="211" t="s">
        <v>460</v>
      </c>
      <c r="L118" s="212" t="s">
        <v>537</v>
      </c>
      <c r="M118" s="213" t="s">
        <v>461</v>
      </c>
      <c r="O118" s="184"/>
      <c r="P118" s="154" t="s">
        <v>585</v>
      </c>
    </row>
    <row r="119" spans="1:16" ht="20.100000000000001" customHeight="1" thickBot="1">
      <c r="A119" s="142" t="s">
        <v>174</v>
      </c>
      <c r="B119" s="259" t="s">
        <v>71</v>
      </c>
      <c r="C119" s="234" t="s">
        <v>930</v>
      </c>
      <c r="D119" s="19"/>
      <c r="E119" s="479" t="s">
        <v>930</v>
      </c>
      <c r="F119" s="480" t="s">
        <v>174</v>
      </c>
      <c r="G119" s="481" t="s">
        <v>71</v>
      </c>
      <c r="H119" s="482" t="s">
        <v>1337</v>
      </c>
      <c r="I119" s="483" t="s">
        <v>1338</v>
      </c>
      <c r="K119" s="192" t="s">
        <v>462</v>
      </c>
      <c r="L119" s="193" t="s">
        <v>538</v>
      </c>
      <c r="M119" s="194" t="s">
        <v>878</v>
      </c>
      <c r="O119" s="184"/>
      <c r="P119" s="155" t="s">
        <v>586</v>
      </c>
    </row>
    <row r="120" spans="1:16" ht="20.100000000000001" customHeight="1" thickBot="1">
      <c r="A120" s="235" t="s">
        <v>912</v>
      </c>
      <c r="B120" s="262" t="s">
        <v>1608</v>
      </c>
      <c r="C120" s="236" t="s">
        <v>912</v>
      </c>
      <c r="D120" s="19"/>
      <c r="E120" s="484" t="s">
        <v>912</v>
      </c>
      <c r="F120" s="485" t="s">
        <v>912</v>
      </c>
      <c r="G120" s="486" t="s">
        <v>1608</v>
      </c>
      <c r="H120" s="487" t="s">
        <v>1339</v>
      </c>
      <c r="I120" s="488">
        <v>50901</v>
      </c>
      <c r="K120" s="195" t="s">
        <v>463</v>
      </c>
      <c r="L120" s="196" t="s">
        <v>538</v>
      </c>
      <c r="M120" s="197" t="s">
        <v>879</v>
      </c>
      <c r="O120" s="184" t="s">
        <v>658</v>
      </c>
      <c r="P120" s="156" t="s">
        <v>719</v>
      </c>
    </row>
    <row r="121" spans="1:16" ht="20.100000000000001" customHeight="1">
      <c r="A121" s="141" t="s">
        <v>913</v>
      </c>
      <c r="B121" s="258" t="s">
        <v>4</v>
      </c>
      <c r="C121" s="233" t="s">
        <v>913</v>
      </c>
      <c r="D121" s="19"/>
      <c r="E121" s="474" t="s">
        <v>913</v>
      </c>
      <c r="F121" s="475" t="s">
        <v>913</v>
      </c>
      <c r="G121" s="476" t="s">
        <v>4</v>
      </c>
      <c r="H121" s="477" t="s">
        <v>1340</v>
      </c>
      <c r="I121" s="478" t="s">
        <v>1341</v>
      </c>
      <c r="K121" s="195" t="s">
        <v>464</v>
      </c>
      <c r="L121" s="196" t="s">
        <v>538</v>
      </c>
      <c r="M121" s="197" t="s">
        <v>880</v>
      </c>
      <c r="O121" s="184"/>
      <c r="P121" s="153" t="s">
        <v>587</v>
      </c>
    </row>
    <row r="122" spans="1:16" ht="20.100000000000001" customHeight="1" thickBot="1">
      <c r="A122" s="142" t="s">
        <v>232</v>
      </c>
      <c r="B122" s="259" t="s">
        <v>4</v>
      </c>
      <c r="C122" s="234" t="s">
        <v>913</v>
      </c>
      <c r="D122" s="19"/>
      <c r="E122" s="479" t="s">
        <v>913</v>
      </c>
      <c r="F122" s="480" t="s">
        <v>232</v>
      </c>
      <c r="G122" s="481" t="s">
        <v>4</v>
      </c>
      <c r="H122" s="482" t="s">
        <v>1342</v>
      </c>
      <c r="I122" s="483" t="s">
        <v>1343</v>
      </c>
      <c r="K122" s="195" t="s">
        <v>465</v>
      </c>
      <c r="L122" s="196" t="s">
        <v>538</v>
      </c>
      <c r="M122" s="197" t="s">
        <v>881</v>
      </c>
      <c r="O122" s="184"/>
      <c r="P122" s="154" t="s">
        <v>588</v>
      </c>
    </row>
    <row r="123" spans="1:16" ht="20.100000000000001" customHeight="1">
      <c r="A123" s="141" t="s">
        <v>222</v>
      </c>
      <c r="B123" s="258" t="s">
        <v>237</v>
      </c>
      <c r="C123" s="233" t="s">
        <v>995</v>
      </c>
      <c r="D123" s="19"/>
      <c r="E123" s="474" t="s">
        <v>995</v>
      </c>
      <c r="F123" s="475" t="s">
        <v>222</v>
      </c>
      <c r="G123" s="476" t="s">
        <v>237</v>
      </c>
      <c r="H123" s="477" t="s">
        <v>1344</v>
      </c>
      <c r="I123" s="478" t="s">
        <v>1345</v>
      </c>
      <c r="K123" s="195" t="s">
        <v>466</v>
      </c>
      <c r="L123" s="196" t="s">
        <v>538</v>
      </c>
      <c r="M123" s="197" t="s">
        <v>882</v>
      </c>
      <c r="O123" s="184"/>
      <c r="P123" s="155" t="s">
        <v>589</v>
      </c>
    </row>
    <row r="124" spans="1:16" ht="20.100000000000001" customHeight="1">
      <c r="A124" s="143" t="s">
        <v>829</v>
      </c>
      <c r="B124" s="261" t="s">
        <v>237</v>
      </c>
      <c r="C124" s="226" t="s">
        <v>995</v>
      </c>
      <c r="D124" s="19"/>
      <c r="E124" s="489" t="s">
        <v>995</v>
      </c>
      <c r="F124" s="490" t="s">
        <v>829</v>
      </c>
      <c r="G124" s="491" t="s">
        <v>237</v>
      </c>
      <c r="H124" s="492" t="s">
        <v>1346</v>
      </c>
      <c r="I124" s="493" t="s">
        <v>1347</v>
      </c>
      <c r="K124" s="195" t="s">
        <v>467</v>
      </c>
      <c r="L124" s="196" t="s">
        <v>538</v>
      </c>
      <c r="M124" s="197" t="s">
        <v>468</v>
      </c>
      <c r="O124" s="184" t="s">
        <v>803</v>
      </c>
      <c r="P124" s="156" t="s">
        <v>718</v>
      </c>
    </row>
    <row r="125" spans="1:16" ht="20.100000000000001" customHeight="1" thickBot="1">
      <c r="A125" s="143" t="s">
        <v>262</v>
      </c>
      <c r="B125" s="261" t="s">
        <v>237</v>
      </c>
      <c r="C125" s="226" t="s">
        <v>995</v>
      </c>
      <c r="D125" s="19"/>
      <c r="E125" s="489" t="s">
        <v>995</v>
      </c>
      <c r="F125" s="490" t="s">
        <v>262</v>
      </c>
      <c r="G125" s="491" t="s">
        <v>237</v>
      </c>
      <c r="H125" s="492" t="s">
        <v>1348</v>
      </c>
      <c r="I125" s="493" t="s">
        <v>1349</v>
      </c>
      <c r="K125" s="198" t="s">
        <v>469</v>
      </c>
      <c r="L125" s="199" t="s">
        <v>538</v>
      </c>
      <c r="M125" s="200" t="s">
        <v>883</v>
      </c>
      <c r="O125" s="184" t="s">
        <v>659</v>
      </c>
      <c r="P125" s="156" t="s">
        <v>717</v>
      </c>
    </row>
    <row r="126" spans="1:16" ht="20.100000000000001" customHeight="1">
      <c r="A126" s="143" t="s">
        <v>996</v>
      </c>
      <c r="B126" s="261" t="s">
        <v>237</v>
      </c>
      <c r="C126" s="226" t="s">
        <v>995</v>
      </c>
      <c r="D126" s="19"/>
      <c r="E126" s="489" t="s">
        <v>995</v>
      </c>
      <c r="F126" s="490" t="s">
        <v>996</v>
      </c>
      <c r="G126" s="491" t="s">
        <v>237</v>
      </c>
      <c r="H126" s="492" t="s">
        <v>1350</v>
      </c>
      <c r="I126" s="493" t="s">
        <v>1351</v>
      </c>
      <c r="K126" s="192" t="s">
        <v>470</v>
      </c>
      <c r="L126" s="193" t="s">
        <v>539</v>
      </c>
      <c r="M126" s="194" t="s">
        <v>884</v>
      </c>
      <c r="O126" s="184" t="s">
        <v>804</v>
      </c>
      <c r="P126" s="156" t="s">
        <v>716</v>
      </c>
    </row>
    <row r="127" spans="1:16" ht="20.100000000000001" customHeight="1" thickBot="1">
      <c r="A127" s="143" t="s">
        <v>914</v>
      </c>
      <c r="B127" s="261" t="s">
        <v>237</v>
      </c>
      <c r="C127" s="226" t="s">
        <v>995</v>
      </c>
      <c r="D127" s="19"/>
      <c r="E127" s="489" t="s">
        <v>995</v>
      </c>
      <c r="F127" s="490" t="s">
        <v>914</v>
      </c>
      <c r="G127" s="491" t="s">
        <v>237</v>
      </c>
      <c r="H127" s="492" t="s">
        <v>1352</v>
      </c>
      <c r="I127" s="493" t="s">
        <v>1353</v>
      </c>
      <c r="K127" s="204" t="s">
        <v>471</v>
      </c>
      <c r="L127" s="205" t="s">
        <v>539</v>
      </c>
      <c r="M127" s="206" t="s">
        <v>885</v>
      </c>
      <c r="O127" s="184" t="s">
        <v>660</v>
      </c>
      <c r="P127" s="156" t="s">
        <v>715</v>
      </c>
    </row>
    <row r="128" spans="1:16" ht="20.100000000000001" customHeight="1">
      <c r="A128" s="143" t="s">
        <v>830</v>
      </c>
      <c r="B128" s="261" t="s">
        <v>237</v>
      </c>
      <c r="C128" s="226" t="s">
        <v>995</v>
      </c>
      <c r="D128" s="19"/>
      <c r="E128" s="489" t="s">
        <v>995</v>
      </c>
      <c r="F128" s="490" t="s">
        <v>830</v>
      </c>
      <c r="G128" s="491" t="s">
        <v>237</v>
      </c>
      <c r="H128" s="492" t="s">
        <v>1354</v>
      </c>
      <c r="I128" s="493" t="s">
        <v>1355</v>
      </c>
      <c r="K128" s="192" t="s">
        <v>472</v>
      </c>
      <c r="L128" s="193" t="s">
        <v>540</v>
      </c>
      <c r="M128" s="194" t="s">
        <v>886</v>
      </c>
      <c r="O128" s="184"/>
      <c r="P128" s="155" t="s">
        <v>590</v>
      </c>
    </row>
    <row r="129" spans="1:17" ht="20.100000000000001" customHeight="1" thickBot="1">
      <c r="A129" s="142" t="s">
        <v>915</v>
      </c>
      <c r="B129" s="259" t="s">
        <v>237</v>
      </c>
      <c r="C129" s="234" t="s">
        <v>995</v>
      </c>
      <c r="D129" s="19"/>
      <c r="E129" s="479" t="s">
        <v>995</v>
      </c>
      <c r="F129" s="480" t="s">
        <v>915</v>
      </c>
      <c r="G129" s="481" t="s">
        <v>237</v>
      </c>
      <c r="H129" s="482" t="s">
        <v>1356</v>
      </c>
      <c r="I129" s="483" t="s">
        <v>1357</v>
      </c>
      <c r="K129" s="195" t="s">
        <v>473</v>
      </c>
      <c r="L129" s="196" t="s">
        <v>540</v>
      </c>
      <c r="M129" s="197" t="s">
        <v>887</v>
      </c>
      <c r="O129" s="184" t="s">
        <v>661</v>
      </c>
      <c r="P129" s="156" t="s">
        <v>714</v>
      </c>
      <c r="Q129" s="468" t="s">
        <v>1035</v>
      </c>
    </row>
    <row r="130" spans="1:17" ht="20.100000000000001" customHeight="1" thickBot="1">
      <c r="A130" s="141" t="s">
        <v>1100</v>
      </c>
      <c r="B130" s="258" t="s">
        <v>1012</v>
      </c>
      <c r="C130" s="233" t="s">
        <v>997</v>
      </c>
      <c r="D130" s="19"/>
      <c r="E130" s="474" t="s">
        <v>997</v>
      </c>
      <c r="F130" s="475" t="s">
        <v>1100</v>
      </c>
      <c r="G130" s="476" t="s">
        <v>1012</v>
      </c>
      <c r="H130" s="477" t="s">
        <v>1358</v>
      </c>
      <c r="I130" s="478" t="s">
        <v>1359</v>
      </c>
      <c r="K130" s="198" t="s">
        <v>474</v>
      </c>
      <c r="L130" s="199" t="s">
        <v>540</v>
      </c>
      <c r="M130" s="200" t="s">
        <v>888</v>
      </c>
      <c r="O130" s="184" t="s">
        <v>662</v>
      </c>
      <c r="P130" s="156" t="s">
        <v>713</v>
      </c>
    </row>
    <row r="131" spans="1:17" ht="20.100000000000001" customHeight="1" thickBot="1">
      <c r="A131" s="143" t="s">
        <v>998</v>
      </c>
      <c r="B131" s="261" t="s">
        <v>1012</v>
      </c>
      <c r="C131" s="226" t="s">
        <v>997</v>
      </c>
      <c r="D131" s="19"/>
      <c r="E131" s="489" t="s">
        <v>997</v>
      </c>
      <c r="F131" s="490" t="s">
        <v>998</v>
      </c>
      <c r="G131" s="491" t="s">
        <v>1012</v>
      </c>
      <c r="H131" s="492" t="s">
        <v>1360</v>
      </c>
      <c r="I131" s="493" t="s">
        <v>1361</v>
      </c>
      <c r="K131" s="207" t="s">
        <v>475</v>
      </c>
      <c r="L131" s="208" t="s">
        <v>541</v>
      </c>
      <c r="M131" s="209" t="s">
        <v>476</v>
      </c>
      <c r="O131" s="184" t="s">
        <v>663</v>
      </c>
      <c r="P131" s="156" t="s">
        <v>805</v>
      </c>
    </row>
    <row r="132" spans="1:17" ht="20.100000000000001" customHeight="1">
      <c r="A132" s="143" t="s">
        <v>1101</v>
      </c>
      <c r="B132" s="261" t="s">
        <v>1012</v>
      </c>
      <c r="C132" s="226" t="s">
        <v>997</v>
      </c>
      <c r="D132" s="19"/>
      <c r="E132" s="489" t="s">
        <v>997</v>
      </c>
      <c r="F132" s="490" t="s">
        <v>1101</v>
      </c>
      <c r="G132" s="491" t="s">
        <v>1012</v>
      </c>
      <c r="H132" s="492" t="s">
        <v>1362</v>
      </c>
      <c r="I132" s="493" t="s">
        <v>1363</v>
      </c>
      <c r="K132" s="192" t="s">
        <v>477</v>
      </c>
      <c r="L132" s="193" t="s">
        <v>542</v>
      </c>
      <c r="M132" s="194" t="s">
        <v>971</v>
      </c>
      <c r="O132" s="184"/>
      <c r="P132" s="155" t="s">
        <v>591</v>
      </c>
    </row>
    <row r="133" spans="1:17" ht="20.100000000000001" customHeight="1" thickBot="1">
      <c r="A133" s="142" t="s">
        <v>1102</v>
      </c>
      <c r="B133" s="259" t="s">
        <v>1012</v>
      </c>
      <c r="C133" s="234" t="s">
        <v>997</v>
      </c>
      <c r="D133" s="19"/>
      <c r="E133" s="479" t="s">
        <v>997</v>
      </c>
      <c r="F133" s="480" t="s">
        <v>1102</v>
      </c>
      <c r="G133" s="481" t="s">
        <v>1012</v>
      </c>
      <c r="H133" s="482" t="s">
        <v>1364</v>
      </c>
      <c r="I133" s="483" t="s">
        <v>1365</v>
      </c>
      <c r="K133" s="198" t="s">
        <v>478</v>
      </c>
      <c r="L133" s="199" t="s">
        <v>542</v>
      </c>
      <c r="M133" s="200" t="s">
        <v>972</v>
      </c>
      <c r="O133" s="184" t="s">
        <v>664</v>
      </c>
      <c r="P133" s="156" t="s">
        <v>712</v>
      </c>
    </row>
    <row r="134" spans="1:17" ht="20.100000000000001" customHeight="1" thickBot="1">
      <c r="A134" s="141" t="s">
        <v>1002</v>
      </c>
      <c r="B134" s="258" t="s">
        <v>1012</v>
      </c>
      <c r="C134" s="233" t="s">
        <v>999</v>
      </c>
      <c r="D134" s="19"/>
      <c r="E134" s="214" t="s">
        <v>999</v>
      </c>
      <c r="F134" s="217" t="s">
        <v>1002</v>
      </c>
      <c r="G134" s="476" t="s">
        <v>1012</v>
      </c>
      <c r="H134" s="477" t="s">
        <v>1366</v>
      </c>
      <c r="I134" s="497" t="s">
        <v>1367</v>
      </c>
      <c r="K134" s="207" t="s">
        <v>479</v>
      </c>
      <c r="L134" s="208" t="s">
        <v>543</v>
      </c>
      <c r="M134" s="209" t="s">
        <v>480</v>
      </c>
      <c r="O134" s="184"/>
      <c r="P134" s="154" t="s">
        <v>592</v>
      </c>
    </row>
    <row r="135" spans="1:17" ht="20.100000000000001" customHeight="1">
      <c r="A135" s="143" t="s">
        <v>1000</v>
      </c>
      <c r="B135" s="261" t="s">
        <v>1012</v>
      </c>
      <c r="C135" s="226" t="s">
        <v>999</v>
      </c>
      <c r="D135" s="19"/>
      <c r="E135" s="215" t="s">
        <v>999</v>
      </c>
      <c r="F135" s="219" t="s">
        <v>1000</v>
      </c>
      <c r="G135" s="491" t="s">
        <v>1012</v>
      </c>
      <c r="H135" s="492" t="s">
        <v>1368</v>
      </c>
      <c r="I135" s="498" t="s">
        <v>1369</v>
      </c>
      <c r="K135" s="192" t="s">
        <v>481</v>
      </c>
      <c r="L135" s="193" t="s">
        <v>544</v>
      </c>
      <c r="M135" s="194" t="s">
        <v>889</v>
      </c>
      <c r="O135" s="184"/>
      <c r="P135" s="155" t="s">
        <v>593</v>
      </c>
    </row>
    <row r="136" spans="1:17" ht="20.100000000000001" customHeight="1" thickBot="1">
      <c r="A136" s="230" t="s">
        <v>1001</v>
      </c>
      <c r="B136" s="257" t="s">
        <v>1012</v>
      </c>
      <c r="C136" s="231" t="s">
        <v>999</v>
      </c>
      <c r="D136" s="19"/>
      <c r="E136" s="216" t="s">
        <v>999</v>
      </c>
      <c r="F136" s="221" t="s">
        <v>1001</v>
      </c>
      <c r="G136" s="481" t="s">
        <v>1012</v>
      </c>
      <c r="H136" s="482" t="s">
        <v>1370</v>
      </c>
      <c r="I136" s="496" t="s">
        <v>1371</v>
      </c>
      <c r="K136" s="195" t="s">
        <v>482</v>
      </c>
      <c r="L136" s="196" t="s">
        <v>544</v>
      </c>
      <c r="M136" s="197" t="s">
        <v>890</v>
      </c>
      <c r="O136" s="184" t="s">
        <v>665</v>
      </c>
      <c r="P136" s="156" t="s">
        <v>806</v>
      </c>
    </row>
    <row r="137" spans="1:17" ht="20.100000000000001" customHeight="1">
      <c r="A137" s="240" t="s">
        <v>916</v>
      </c>
      <c r="B137" s="258" t="s">
        <v>104</v>
      </c>
      <c r="C137" s="147" t="s">
        <v>931</v>
      </c>
      <c r="D137" s="19"/>
      <c r="E137" s="474" t="s">
        <v>931</v>
      </c>
      <c r="F137" s="475" t="s">
        <v>916</v>
      </c>
      <c r="G137" s="476" t="s">
        <v>104</v>
      </c>
      <c r="H137" s="477" t="s">
        <v>1372</v>
      </c>
      <c r="I137" s="478" t="s">
        <v>1373</v>
      </c>
      <c r="K137" s="195" t="s">
        <v>483</v>
      </c>
      <c r="L137" s="196" t="s">
        <v>544</v>
      </c>
      <c r="M137" s="197" t="s">
        <v>891</v>
      </c>
      <c r="O137" s="184"/>
      <c r="P137" s="153" t="s">
        <v>594</v>
      </c>
    </row>
    <row r="138" spans="1:17" ht="20.100000000000001" customHeight="1" thickBot="1">
      <c r="A138" s="143" t="s">
        <v>1003</v>
      </c>
      <c r="B138" s="261" t="s">
        <v>104</v>
      </c>
      <c r="C138" s="226" t="s">
        <v>931</v>
      </c>
      <c r="D138" s="19"/>
      <c r="E138" s="489" t="s">
        <v>931</v>
      </c>
      <c r="F138" s="490" t="s">
        <v>1003</v>
      </c>
      <c r="G138" s="491" t="s">
        <v>104</v>
      </c>
      <c r="H138" s="492" t="s">
        <v>1374</v>
      </c>
      <c r="I138" s="493" t="s">
        <v>1375</v>
      </c>
      <c r="K138" s="204" t="s">
        <v>484</v>
      </c>
      <c r="L138" s="205" t="s">
        <v>544</v>
      </c>
      <c r="M138" s="206" t="s">
        <v>892</v>
      </c>
      <c r="O138" s="184"/>
      <c r="P138" s="154" t="s">
        <v>595</v>
      </c>
    </row>
    <row r="139" spans="1:17" ht="20.100000000000001" customHeight="1">
      <c r="A139" s="143" t="s">
        <v>917</v>
      </c>
      <c r="B139" s="261" t="s">
        <v>104</v>
      </c>
      <c r="C139" s="226" t="s">
        <v>931</v>
      </c>
      <c r="D139" s="19"/>
      <c r="E139" s="489" t="s">
        <v>931</v>
      </c>
      <c r="F139" s="490" t="s">
        <v>917</v>
      </c>
      <c r="G139" s="491" t="s">
        <v>104</v>
      </c>
      <c r="H139" s="492" t="s">
        <v>1376</v>
      </c>
      <c r="I139" s="493" t="s">
        <v>1377</v>
      </c>
      <c r="K139" s="192" t="s">
        <v>485</v>
      </c>
      <c r="L139" s="193" t="s">
        <v>545</v>
      </c>
      <c r="M139" s="194" t="s">
        <v>486</v>
      </c>
      <c r="O139" s="184"/>
      <c r="P139" s="155" t="s">
        <v>596</v>
      </c>
    </row>
    <row r="140" spans="1:17" ht="20.100000000000001" customHeight="1">
      <c r="A140" s="143" t="s">
        <v>1004</v>
      </c>
      <c r="B140" s="261" t="s">
        <v>104</v>
      </c>
      <c r="C140" s="226" t="s">
        <v>931</v>
      </c>
      <c r="D140" s="19"/>
      <c r="E140" s="489" t="s">
        <v>931</v>
      </c>
      <c r="F140" s="490" t="s">
        <v>1004</v>
      </c>
      <c r="G140" s="491" t="s">
        <v>104</v>
      </c>
      <c r="H140" s="492" t="s">
        <v>1378</v>
      </c>
      <c r="I140" s="493" t="s">
        <v>1379</v>
      </c>
      <c r="K140" s="195" t="s">
        <v>487</v>
      </c>
      <c r="L140" s="196" t="s">
        <v>545</v>
      </c>
      <c r="M140" s="197" t="s">
        <v>488</v>
      </c>
      <c r="O140" s="184" t="s">
        <v>666</v>
      </c>
      <c r="P140" s="156" t="s">
        <v>807</v>
      </c>
    </row>
    <row r="141" spans="1:17" ht="20.100000000000001" customHeight="1" thickBot="1">
      <c r="A141" s="143" t="s">
        <v>1005</v>
      </c>
      <c r="B141" s="261" t="s">
        <v>104</v>
      </c>
      <c r="C141" s="226" t="s">
        <v>931</v>
      </c>
      <c r="D141" s="19"/>
      <c r="E141" s="215" t="s">
        <v>931</v>
      </c>
      <c r="F141" s="219" t="s">
        <v>1005</v>
      </c>
      <c r="G141" s="491" t="s">
        <v>104</v>
      </c>
      <c r="H141" s="492" t="s">
        <v>1380</v>
      </c>
      <c r="I141" s="498" t="s">
        <v>1381</v>
      </c>
      <c r="K141" s="198" t="s">
        <v>489</v>
      </c>
      <c r="L141" s="199" t="s">
        <v>545</v>
      </c>
      <c r="M141" s="200" t="s">
        <v>490</v>
      </c>
      <c r="O141" s="184" t="s">
        <v>1609</v>
      </c>
      <c r="P141" s="156" t="s">
        <v>1611</v>
      </c>
    </row>
    <row r="142" spans="1:17" ht="20.100000000000001" customHeight="1">
      <c r="A142" s="143" t="s">
        <v>1006</v>
      </c>
      <c r="B142" s="261" t="s">
        <v>104</v>
      </c>
      <c r="C142" s="226" t="s">
        <v>931</v>
      </c>
      <c r="D142" s="19"/>
      <c r="E142" s="489" t="s">
        <v>931</v>
      </c>
      <c r="F142" s="490" t="s">
        <v>1006</v>
      </c>
      <c r="G142" s="491" t="s">
        <v>104</v>
      </c>
      <c r="H142" s="492" t="s">
        <v>1382</v>
      </c>
      <c r="I142" s="493" t="s">
        <v>1383</v>
      </c>
      <c r="K142" s="192" t="s">
        <v>491</v>
      </c>
      <c r="L142" s="193" t="s">
        <v>145</v>
      </c>
      <c r="M142" s="194" t="s">
        <v>492</v>
      </c>
      <c r="O142" s="184" t="s">
        <v>1610</v>
      </c>
      <c r="P142" s="156" t="s">
        <v>1612</v>
      </c>
    </row>
    <row r="143" spans="1:17" ht="20.100000000000001" customHeight="1">
      <c r="A143" s="143" t="s">
        <v>106</v>
      </c>
      <c r="B143" s="261" t="s">
        <v>104</v>
      </c>
      <c r="C143" s="226" t="s">
        <v>931</v>
      </c>
      <c r="D143" s="19"/>
      <c r="E143" s="489" t="s">
        <v>931</v>
      </c>
      <c r="F143" s="490" t="s">
        <v>106</v>
      </c>
      <c r="G143" s="491" t="s">
        <v>104</v>
      </c>
      <c r="H143" s="492" t="s">
        <v>1384</v>
      </c>
      <c r="I143" s="493" t="s">
        <v>1385</v>
      </c>
      <c r="K143" s="195" t="s">
        <v>493</v>
      </c>
      <c r="L143" s="196" t="s">
        <v>145</v>
      </c>
      <c r="M143" s="197" t="s">
        <v>494</v>
      </c>
      <c r="O143" s="184"/>
      <c r="P143" s="155" t="s">
        <v>597</v>
      </c>
    </row>
    <row r="144" spans="1:17" ht="20.100000000000001" customHeight="1" thickBot="1">
      <c r="A144" s="143" t="s">
        <v>918</v>
      </c>
      <c r="B144" s="261" t="s">
        <v>71</v>
      </c>
      <c r="C144" s="226" t="s">
        <v>931</v>
      </c>
      <c r="D144" s="19"/>
      <c r="E144" s="489" t="s">
        <v>931</v>
      </c>
      <c r="F144" s="490" t="s">
        <v>918</v>
      </c>
      <c r="G144" s="491" t="s">
        <v>71</v>
      </c>
      <c r="H144" s="492" t="s">
        <v>1386</v>
      </c>
      <c r="I144" s="493" t="s">
        <v>1387</v>
      </c>
      <c r="K144" s="198" t="s">
        <v>495</v>
      </c>
      <c r="L144" s="199" t="s">
        <v>145</v>
      </c>
      <c r="M144" s="200" t="s">
        <v>496</v>
      </c>
      <c r="O144" s="184" t="s">
        <v>667</v>
      </c>
      <c r="P144" s="156" t="s">
        <v>711</v>
      </c>
    </row>
    <row r="145" spans="1:16" ht="20.100000000000001" customHeight="1">
      <c r="A145" s="143" t="s">
        <v>919</v>
      </c>
      <c r="B145" s="261" t="s">
        <v>104</v>
      </c>
      <c r="C145" s="226" t="s">
        <v>931</v>
      </c>
      <c r="D145" s="19"/>
      <c r="E145" s="489" t="s">
        <v>931</v>
      </c>
      <c r="F145" s="490" t="s">
        <v>919</v>
      </c>
      <c r="G145" s="491" t="s">
        <v>104</v>
      </c>
      <c r="H145" s="492" t="s">
        <v>1388</v>
      </c>
      <c r="I145" s="493" t="s">
        <v>1389</v>
      </c>
      <c r="K145" s="192" t="s">
        <v>497</v>
      </c>
      <c r="L145" s="193" t="s">
        <v>546</v>
      </c>
      <c r="M145" s="194" t="s">
        <v>893</v>
      </c>
      <c r="O145" s="184" t="s">
        <v>668</v>
      </c>
      <c r="P145" s="156" t="s">
        <v>710</v>
      </c>
    </row>
    <row r="146" spans="1:16" ht="20.100000000000001" customHeight="1" thickBot="1">
      <c r="A146" s="142" t="s">
        <v>78</v>
      </c>
      <c r="B146" s="259" t="s">
        <v>71</v>
      </c>
      <c r="C146" s="234" t="s">
        <v>931</v>
      </c>
      <c r="D146" s="19"/>
      <c r="E146" s="479" t="s">
        <v>931</v>
      </c>
      <c r="F146" s="480" t="s">
        <v>78</v>
      </c>
      <c r="G146" s="481" t="s">
        <v>71</v>
      </c>
      <c r="H146" s="482" t="s">
        <v>1390</v>
      </c>
      <c r="I146" s="483" t="s">
        <v>1391</v>
      </c>
      <c r="K146" s="195" t="s">
        <v>498</v>
      </c>
      <c r="L146" s="196" t="s">
        <v>546</v>
      </c>
      <c r="M146" s="197" t="s">
        <v>894</v>
      </c>
      <c r="O146" s="184" t="s">
        <v>669</v>
      </c>
      <c r="P146" s="156" t="s">
        <v>709</v>
      </c>
    </row>
    <row r="147" spans="1:16" ht="20.100000000000001" customHeight="1">
      <c r="A147" s="141" t="s">
        <v>920</v>
      </c>
      <c r="B147" s="258" t="s">
        <v>1012</v>
      </c>
      <c r="C147" s="233" t="s">
        <v>932</v>
      </c>
      <c r="D147" s="19"/>
      <c r="E147" s="474" t="s">
        <v>932</v>
      </c>
      <c r="F147" s="475" t="s">
        <v>920</v>
      </c>
      <c r="G147" s="476" t="s">
        <v>1012</v>
      </c>
      <c r="H147" s="477" t="s">
        <v>1392</v>
      </c>
      <c r="I147" s="478" t="s">
        <v>1393</v>
      </c>
      <c r="K147" s="195" t="s">
        <v>499</v>
      </c>
      <c r="L147" s="196" t="s">
        <v>546</v>
      </c>
      <c r="M147" s="197" t="s">
        <v>895</v>
      </c>
      <c r="O147" s="184"/>
      <c r="P147" s="155" t="s">
        <v>598</v>
      </c>
    </row>
    <row r="148" spans="1:16" ht="20.100000000000001" customHeight="1" thickBot="1">
      <c r="A148" s="143" t="s">
        <v>921</v>
      </c>
      <c r="B148" s="261" t="s">
        <v>1012</v>
      </c>
      <c r="C148" s="226" t="s">
        <v>932</v>
      </c>
      <c r="D148" s="19"/>
      <c r="E148" s="489" t="s">
        <v>932</v>
      </c>
      <c r="F148" s="490" t="s">
        <v>921</v>
      </c>
      <c r="G148" s="491" t="s">
        <v>1012</v>
      </c>
      <c r="H148" s="492" t="s">
        <v>1394</v>
      </c>
      <c r="I148" s="493" t="s">
        <v>1395</v>
      </c>
      <c r="K148" s="198" t="s">
        <v>500</v>
      </c>
      <c r="L148" s="199" t="s">
        <v>546</v>
      </c>
      <c r="M148" s="200" t="s">
        <v>501</v>
      </c>
      <c r="O148" s="184" t="s">
        <v>670</v>
      </c>
      <c r="P148" s="156" t="s">
        <v>708</v>
      </c>
    </row>
    <row r="149" spans="1:16" ht="20.100000000000001" customHeight="1">
      <c r="A149" s="143" t="s">
        <v>922</v>
      </c>
      <c r="B149" s="261" t="s">
        <v>1012</v>
      </c>
      <c r="C149" s="226" t="s">
        <v>932</v>
      </c>
      <c r="D149" s="19"/>
      <c r="E149" s="489" t="s">
        <v>932</v>
      </c>
      <c r="F149" s="490" t="s">
        <v>922</v>
      </c>
      <c r="G149" s="491" t="s">
        <v>1012</v>
      </c>
      <c r="H149" s="492" t="s">
        <v>1396</v>
      </c>
      <c r="I149" s="493" t="s">
        <v>1397</v>
      </c>
      <c r="O149" s="184" t="s">
        <v>808</v>
      </c>
      <c r="P149" s="156" t="s">
        <v>707</v>
      </c>
    </row>
    <row r="150" spans="1:16" ht="20.100000000000001" customHeight="1">
      <c r="A150" s="143" t="s">
        <v>923</v>
      </c>
      <c r="B150" s="261" t="s">
        <v>1012</v>
      </c>
      <c r="C150" s="226" t="s">
        <v>932</v>
      </c>
      <c r="D150" s="19"/>
      <c r="E150" s="489" t="s">
        <v>932</v>
      </c>
      <c r="F150" s="490" t="s">
        <v>923</v>
      </c>
      <c r="G150" s="491" t="s">
        <v>1012</v>
      </c>
      <c r="H150" s="492" t="s">
        <v>1398</v>
      </c>
      <c r="I150" s="493" t="s">
        <v>1399</v>
      </c>
      <c r="O150" s="184" t="s">
        <v>671</v>
      </c>
      <c r="P150" s="156" t="s">
        <v>706</v>
      </c>
    </row>
    <row r="151" spans="1:16" ht="20.100000000000001" customHeight="1" thickBot="1">
      <c r="A151" s="142" t="s">
        <v>924</v>
      </c>
      <c r="B151" s="259" t="s">
        <v>1012</v>
      </c>
      <c r="C151" s="234" t="s">
        <v>932</v>
      </c>
      <c r="D151" s="19"/>
      <c r="E151" s="479" t="s">
        <v>932</v>
      </c>
      <c r="F151" s="480" t="s">
        <v>924</v>
      </c>
      <c r="G151" s="481" t="s">
        <v>1012</v>
      </c>
      <c r="H151" s="482" t="s">
        <v>1400</v>
      </c>
      <c r="I151" s="483" t="s">
        <v>1401</v>
      </c>
      <c r="O151" s="184" t="s">
        <v>809</v>
      </c>
      <c r="P151" s="156" t="s">
        <v>705</v>
      </c>
    </row>
    <row r="152" spans="1:16" ht="20.100000000000001" customHeight="1">
      <c r="A152" s="141" t="s">
        <v>1007</v>
      </c>
      <c r="B152" s="258" t="s">
        <v>237</v>
      </c>
      <c r="C152" s="233" t="s">
        <v>1008</v>
      </c>
      <c r="D152" s="19"/>
      <c r="E152" s="499" t="s">
        <v>1008</v>
      </c>
      <c r="F152" s="500" t="s">
        <v>1007</v>
      </c>
      <c r="G152" s="501" t="s">
        <v>237</v>
      </c>
      <c r="H152" s="477" t="s">
        <v>1402</v>
      </c>
      <c r="I152" s="478" t="s">
        <v>1403</v>
      </c>
      <c r="O152" s="184"/>
      <c r="P152" s="155" t="s">
        <v>599</v>
      </c>
    </row>
    <row r="153" spans="1:16" ht="20.100000000000001" customHeight="1">
      <c r="A153" s="143" t="s">
        <v>926</v>
      </c>
      <c r="B153" s="261" t="s">
        <v>237</v>
      </c>
      <c r="C153" s="226" t="s">
        <v>1008</v>
      </c>
      <c r="D153" s="19"/>
      <c r="E153" s="489" t="s">
        <v>1008</v>
      </c>
      <c r="F153" s="490" t="s">
        <v>926</v>
      </c>
      <c r="G153" s="491" t="s">
        <v>237</v>
      </c>
      <c r="H153" s="492" t="s">
        <v>1404</v>
      </c>
      <c r="I153" s="493" t="s">
        <v>1405</v>
      </c>
      <c r="O153" s="184" t="s">
        <v>672</v>
      </c>
      <c r="P153" s="156" t="s">
        <v>704</v>
      </c>
    </row>
    <row r="154" spans="1:16" ht="20.100000000000001" customHeight="1">
      <c r="A154" s="143" t="s">
        <v>927</v>
      </c>
      <c r="B154" s="261" t="s">
        <v>237</v>
      </c>
      <c r="C154" s="226" t="s">
        <v>1008</v>
      </c>
      <c r="D154" s="19"/>
      <c r="E154" s="489" t="s">
        <v>1008</v>
      </c>
      <c r="F154" s="490" t="s">
        <v>927</v>
      </c>
      <c r="G154" s="491" t="s">
        <v>237</v>
      </c>
      <c r="H154" s="492" t="s">
        <v>1406</v>
      </c>
      <c r="I154" s="493" t="s">
        <v>1407</v>
      </c>
      <c r="O154" s="184"/>
      <c r="P154" s="155" t="s">
        <v>810</v>
      </c>
    </row>
    <row r="155" spans="1:16" ht="20.100000000000001" customHeight="1" thickBot="1">
      <c r="A155" s="230" t="s">
        <v>208</v>
      </c>
      <c r="B155" s="257" t="s">
        <v>237</v>
      </c>
      <c r="C155" s="231" t="s">
        <v>1008</v>
      </c>
      <c r="D155" s="19"/>
      <c r="E155" s="479" t="s">
        <v>1008</v>
      </c>
      <c r="F155" s="480" t="s">
        <v>208</v>
      </c>
      <c r="G155" s="481" t="s">
        <v>237</v>
      </c>
      <c r="H155" s="482" t="s">
        <v>1408</v>
      </c>
      <c r="I155" s="483" t="s">
        <v>1409</v>
      </c>
      <c r="O155" s="184" t="s">
        <v>811</v>
      </c>
      <c r="P155" s="156" t="s">
        <v>812</v>
      </c>
    </row>
    <row r="156" spans="1:16" ht="20.100000000000001" customHeight="1">
      <c r="A156" s="141" t="s">
        <v>28</v>
      </c>
      <c r="B156" s="258" t="s">
        <v>22</v>
      </c>
      <c r="C156" s="233" t="s">
        <v>197</v>
      </c>
      <c r="D156" s="19"/>
      <c r="E156" s="474" t="s">
        <v>197</v>
      </c>
      <c r="F156" s="475" t="s">
        <v>28</v>
      </c>
      <c r="G156" s="476" t="s">
        <v>22</v>
      </c>
      <c r="H156" s="477" t="s">
        <v>1410</v>
      </c>
      <c r="I156" s="478" t="s">
        <v>1411</v>
      </c>
      <c r="O156" s="184" t="s">
        <v>813</v>
      </c>
      <c r="P156" s="156" t="s">
        <v>814</v>
      </c>
    </row>
    <row r="157" spans="1:16" ht="20.100000000000001" customHeight="1">
      <c r="A157" s="143" t="s">
        <v>1009</v>
      </c>
      <c r="B157" s="261" t="s">
        <v>22</v>
      </c>
      <c r="C157" s="226" t="s">
        <v>197</v>
      </c>
      <c r="D157" s="19"/>
      <c r="E157" s="489" t="s">
        <v>197</v>
      </c>
      <c r="F157" s="490" t="s">
        <v>1009</v>
      </c>
      <c r="G157" s="491" t="s">
        <v>22</v>
      </c>
      <c r="H157" s="492" t="s">
        <v>1412</v>
      </c>
      <c r="I157" s="493" t="s">
        <v>1413</v>
      </c>
      <c r="O157" s="184"/>
      <c r="P157" s="154" t="s">
        <v>600</v>
      </c>
    </row>
    <row r="158" spans="1:16" ht="20.100000000000001" customHeight="1">
      <c r="A158" s="227" t="s">
        <v>233</v>
      </c>
      <c r="B158" s="261" t="s">
        <v>22</v>
      </c>
      <c r="C158" s="226" t="s">
        <v>197</v>
      </c>
      <c r="D158" s="19"/>
      <c r="E158" s="489" t="s">
        <v>197</v>
      </c>
      <c r="F158" s="490" t="s">
        <v>233</v>
      </c>
      <c r="G158" s="491" t="s">
        <v>22</v>
      </c>
      <c r="H158" s="492" t="s">
        <v>1414</v>
      </c>
      <c r="I158" s="493" t="s">
        <v>1415</v>
      </c>
      <c r="O158" s="184"/>
      <c r="P158" s="155" t="s">
        <v>601</v>
      </c>
    </row>
    <row r="159" spans="1:16" ht="20.100000000000001" customHeight="1">
      <c r="A159" s="227" t="s">
        <v>234</v>
      </c>
      <c r="B159" s="261" t="s">
        <v>22</v>
      </c>
      <c r="C159" s="226" t="s">
        <v>197</v>
      </c>
      <c r="D159" s="19"/>
      <c r="E159" s="489" t="s">
        <v>197</v>
      </c>
      <c r="F159" s="490" t="s">
        <v>234</v>
      </c>
      <c r="G159" s="491" t="s">
        <v>22</v>
      </c>
      <c r="H159" s="492" t="s">
        <v>1416</v>
      </c>
      <c r="I159" s="493" t="s">
        <v>1417</v>
      </c>
      <c r="O159" s="184" t="s">
        <v>673</v>
      </c>
      <c r="P159" s="156" t="s">
        <v>703</v>
      </c>
    </row>
    <row r="160" spans="1:16" ht="20.100000000000001" customHeight="1">
      <c r="A160" s="227" t="s">
        <v>832</v>
      </c>
      <c r="B160" s="261" t="s">
        <v>22</v>
      </c>
      <c r="C160" s="226" t="s">
        <v>197</v>
      </c>
      <c r="D160" s="19"/>
      <c r="E160" s="489" t="s">
        <v>197</v>
      </c>
      <c r="F160" s="490" t="s">
        <v>832</v>
      </c>
      <c r="G160" s="491" t="s">
        <v>22</v>
      </c>
      <c r="H160" s="492" t="s">
        <v>1418</v>
      </c>
      <c r="I160" s="493" t="s">
        <v>1419</v>
      </c>
      <c r="O160" s="184" t="s">
        <v>674</v>
      </c>
      <c r="P160" s="156" t="s">
        <v>702</v>
      </c>
    </row>
    <row r="161" spans="1:17" ht="20.100000000000001" customHeight="1">
      <c r="A161" s="227" t="s">
        <v>928</v>
      </c>
      <c r="B161" s="261" t="s">
        <v>22</v>
      </c>
      <c r="C161" s="226" t="s">
        <v>197</v>
      </c>
      <c r="D161" s="19"/>
      <c r="E161" s="489" t="s">
        <v>197</v>
      </c>
      <c r="F161" s="219" t="s">
        <v>928</v>
      </c>
      <c r="G161" s="491" t="s">
        <v>22</v>
      </c>
      <c r="H161" s="492" t="s">
        <v>1420</v>
      </c>
      <c r="I161" s="493" t="s">
        <v>1421</v>
      </c>
      <c r="O161" s="184" t="s">
        <v>675</v>
      </c>
      <c r="P161" s="156" t="s">
        <v>701</v>
      </c>
    </row>
    <row r="162" spans="1:17" ht="20.100000000000001" customHeight="1">
      <c r="A162" s="143" t="s">
        <v>833</v>
      </c>
      <c r="B162" s="261" t="s">
        <v>22</v>
      </c>
      <c r="C162" s="226" t="s">
        <v>197</v>
      </c>
      <c r="D162" s="19"/>
      <c r="E162" s="489" t="s">
        <v>197</v>
      </c>
      <c r="F162" s="219" t="s">
        <v>833</v>
      </c>
      <c r="G162" s="491" t="s">
        <v>22</v>
      </c>
      <c r="H162" s="492" t="s">
        <v>1422</v>
      </c>
      <c r="I162" s="493" t="s">
        <v>1423</v>
      </c>
      <c r="O162" s="184" t="s">
        <v>815</v>
      </c>
      <c r="P162" s="156" t="s">
        <v>700</v>
      </c>
    </row>
    <row r="163" spans="1:17" ht="20.100000000000001" customHeight="1">
      <c r="A163" s="143" t="s">
        <v>834</v>
      </c>
      <c r="B163" s="261" t="s">
        <v>22</v>
      </c>
      <c r="C163" s="226" t="s">
        <v>197</v>
      </c>
      <c r="D163" s="28"/>
      <c r="E163" s="489" t="s">
        <v>197</v>
      </c>
      <c r="F163" s="219" t="s">
        <v>834</v>
      </c>
      <c r="G163" s="491" t="s">
        <v>22</v>
      </c>
      <c r="H163" s="492" t="s">
        <v>1424</v>
      </c>
      <c r="I163" s="493" t="s">
        <v>1425</v>
      </c>
      <c r="O163" s="184" t="s">
        <v>676</v>
      </c>
      <c r="P163" s="156" t="s">
        <v>816</v>
      </c>
    </row>
    <row r="164" spans="1:17" ht="20.100000000000001" customHeight="1" thickBot="1">
      <c r="A164" s="142" t="s">
        <v>835</v>
      </c>
      <c r="B164" s="259" t="s">
        <v>22</v>
      </c>
      <c r="C164" s="234" t="s">
        <v>197</v>
      </c>
      <c r="D164" s="28"/>
      <c r="E164" s="502" t="s">
        <v>197</v>
      </c>
      <c r="F164" s="503" t="s">
        <v>835</v>
      </c>
      <c r="G164" s="504" t="s">
        <v>22</v>
      </c>
      <c r="H164" s="482" t="s">
        <v>1426</v>
      </c>
      <c r="I164" s="483" t="s">
        <v>1427</v>
      </c>
      <c r="O164" s="184"/>
      <c r="P164" s="155" t="s">
        <v>602</v>
      </c>
    </row>
    <row r="165" spans="1:17" ht="20.100000000000001" customHeight="1">
      <c r="A165" s="141" t="s">
        <v>1103</v>
      </c>
      <c r="B165" s="258" t="s">
        <v>22</v>
      </c>
      <c r="C165" s="233" t="s">
        <v>197</v>
      </c>
      <c r="D165" s="28"/>
      <c r="E165" s="474" t="s">
        <v>197</v>
      </c>
      <c r="F165" s="475" t="s">
        <v>1103</v>
      </c>
      <c r="G165" s="476" t="s">
        <v>22</v>
      </c>
      <c r="H165" s="477" t="s">
        <v>1428</v>
      </c>
      <c r="I165" s="478" t="s">
        <v>1429</v>
      </c>
      <c r="O165" s="184" t="s">
        <v>817</v>
      </c>
      <c r="P165" s="156" t="s">
        <v>699</v>
      </c>
    </row>
    <row r="166" spans="1:17" ht="20.100000000000001" customHeight="1">
      <c r="A166" s="227" t="s">
        <v>836</v>
      </c>
      <c r="B166" s="261" t="s">
        <v>22</v>
      </c>
      <c r="C166" s="226" t="s">
        <v>197</v>
      </c>
      <c r="D166" s="19"/>
      <c r="E166" s="489" t="s">
        <v>197</v>
      </c>
      <c r="F166" s="490" t="s">
        <v>836</v>
      </c>
      <c r="G166" s="491" t="s">
        <v>22</v>
      </c>
      <c r="H166" s="492" t="s">
        <v>1430</v>
      </c>
      <c r="I166" s="493" t="s">
        <v>1431</v>
      </c>
      <c r="O166" s="184" t="s">
        <v>677</v>
      </c>
      <c r="P166" s="156" t="s">
        <v>818</v>
      </c>
      <c r="Q166" s="468" t="s">
        <v>773</v>
      </c>
    </row>
    <row r="167" spans="1:17" ht="20.100000000000001" customHeight="1">
      <c r="A167" s="143" t="s">
        <v>30</v>
      </c>
      <c r="B167" s="261" t="s">
        <v>22</v>
      </c>
      <c r="C167" s="226" t="s">
        <v>197</v>
      </c>
      <c r="D167" s="19"/>
      <c r="E167" s="489" t="s">
        <v>197</v>
      </c>
      <c r="F167" s="490" t="s">
        <v>30</v>
      </c>
      <c r="G167" s="491" t="s">
        <v>22</v>
      </c>
      <c r="H167" s="492" t="s">
        <v>1432</v>
      </c>
      <c r="I167" s="493" t="s">
        <v>1433</v>
      </c>
      <c r="O167" s="184" t="s">
        <v>819</v>
      </c>
      <c r="P167" s="156" t="s">
        <v>698</v>
      </c>
    </row>
    <row r="168" spans="1:17" ht="20.100000000000001" customHeight="1" thickBot="1">
      <c r="A168" s="142" t="s">
        <v>265</v>
      </c>
      <c r="B168" s="259" t="s">
        <v>22</v>
      </c>
      <c r="C168" s="234" t="s">
        <v>197</v>
      </c>
      <c r="D168" s="19"/>
      <c r="E168" s="479" t="s">
        <v>197</v>
      </c>
      <c r="F168" s="480" t="s">
        <v>265</v>
      </c>
      <c r="G168" s="481" t="s">
        <v>22</v>
      </c>
      <c r="H168" s="482" t="s">
        <v>1434</v>
      </c>
      <c r="I168" s="483" t="s">
        <v>1435</v>
      </c>
      <c r="O168" s="185" t="s">
        <v>678</v>
      </c>
      <c r="P168" s="158" t="s">
        <v>697</v>
      </c>
    </row>
    <row r="169" spans="1:17" ht="20.100000000000001" customHeight="1">
      <c r="A169" s="141" t="s">
        <v>266</v>
      </c>
      <c r="B169" s="258" t="s">
        <v>22</v>
      </c>
      <c r="C169" s="233" t="s">
        <v>197</v>
      </c>
      <c r="D169" s="19"/>
      <c r="E169" s="474" t="s">
        <v>197</v>
      </c>
      <c r="F169" s="217" t="s">
        <v>266</v>
      </c>
      <c r="G169" s="476" t="s">
        <v>22</v>
      </c>
      <c r="H169" s="477" t="s">
        <v>1436</v>
      </c>
      <c r="I169" s="478" t="s">
        <v>1437</v>
      </c>
    </row>
    <row r="170" spans="1:17" ht="20.100000000000001" customHeight="1">
      <c r="A170" s="143" t="s">
        <v>1010</v>
      </c>
      <c r="B170" s="261" t="s">
        <v>22</v>
      </c>
      <c r="C170" s="226" t="s">
        <v>197</v>
      </c>
      <c r="D170" s="19"/>
      <c r="E170" s="489" t="s">
        <v>197</v>
      </c>
      <c r="F170" s="490" t="s">
        <v>1010</v>
      </c>
      <c r="G170" s="491" t="s">
        <v>22</v>
      </c>
      <c r="H170" s="492" t="s">
        <v>1438</v>
      </c>
      <c r="I170" s="493" t="s">
        <v>1439</v>
      </c>
    </row>
    <row r="171" spans="1:17" ht="20.100000000000001" customHeight="1" thickBot="1">
      <c r="A171" s="142" t="s">
        <v>1104</v>
      </c>
      <c r="B171" s="259" t="s">
        <v>22</v>
      </c>
      <c r="C171" s="234" t="s">
        <v>197</v>
      </c>
      <c r="D171" s="19"/>
      <c r="E171" s="502" t="s">
        <v>197</v>
      </c>
      <c r="F171" s="505" t="s">
        <v>1104</v>
      </c>
      <c r="G171" s="504" t="s">
        <v>22</v>
      </c>
      <c r="H171" s="482" t="s">
        <v>1440</v>
      </c>
      <c r="I171" s="483" t="s">
        <v>1441</v>
      </c>
    </row>
    <row r="172" spans="1:17" ht="20.100000000000001" customHeight="1" thickBot="1">
      <c r="A172" s="235" t="s">
        <v>167</v>
      </c>
      <c r="B172" s="262" t="s">
        <v>22</v>
      </c>
      <c r="C172" s="236" t="s">
        <v>197</v>
      </c>
      <c r="D172" s="19"/>
      <c r="E172" s="484" t="s">
        <v>197</v>
      </c>
      <c r="F172" s="485" t="s">
        <v>167</v>
      </c>
      <c r="G172" s="486" t="s">
        <v>22</v>
      </c>
      <c r="H172" s="506" t="s">
        <v>1442</v>
      </c>
      <c r="I172" s="507" t="s">
        <v>1443</v>
      </c>
    </row>
    <row r="173" spans="1:17" ht="20.100000000000001" customHeight="1" thickBot="1">
      <c r="A173" s="235" t="s">
        <v>168</v>
      </c>
      <c r="B173" s="262" t="s">
        <v>22</v>
      </c>
      <c r="C173" s="236" t="s">
        <v>197</v>
      </c>
      <c r="D173" s="19"/>
      <c r="E173" s="484" t="s">
        <v>197</v>
      </c>
      <c r="F173" s="485" t="s">
        <v>168</v>
      </c>
      <c r="G173" s="486" t="s">
        <v>22</v>
      </c>
      <c r="H173" s="487" t="s">
        <v>1444</v>
      </c>
      <c r="I173" s="488" t="s">
        <v>1445</v>
      </c>
    </row>
    <row r="174" spans="1:17" ht="20.100000000000001" customHeight="1" thickBot="1">
      <c r="A174" s="235" t="s">
        <v>169</v>
      </c>
      <c r="B174" s="262" t="s">
        <v>22</v>
      </c>
      <c r="C174" s="236" t="s">
        <v>197</v>
      </c>
      <c r="D174" s="19"/>
      <c r="E174" s="484" t="s">
        <v>197</v>
      </c>
      <c r="F174" s="485" t="s">
        <v>169</v>
      </c>
      <c r="G174" s="486" t="s">
        <v>22</v>
      </c>
      <c r="H174" s="487" t="s">
        <v>1446</v>
      </c>
      <c r="I174" s="488" t="s">
        <v>1447</v>
      </c>
    </row>
    <row r="175" spans="1:17" ht="20.100000000000001" customHeight="1">
      <c r="A175" s="141" t="s">
        <v>31</v>
      </c>
      <c r="B175" s="258" t="s">
        <v>22</v>
      </c>
      <c r="C175" s="233" t="s">
        <v>197</v>
      </c>
      <c r="D175" s="19"/>
      <c r="E175" s="474" t="s">
        <v>197</v>
      </c>
      <c r="F175" s="475" t="s">
        <v>31</v>
      </c>
      <c r="G175" s="476" t="s">
        <v>22</v>
      </c>
      <c r="H175" s="477" t="s">
        <v>1448</v>
      </c>
      <c r="I175" s="478" t="s">
        <v>1449</v>
      </c>
    </row>
    <row r="176" spans="1:17" ht="20.100000000000001" customHeight="1">
      <c r="A176" s="143" t="s">
        <v>235</v>
      </c>
      <c r="B176" s="261" t="s">
        <v>22</v>
      </c>
      <c r="C176" s="226" t="s">
        <v>197</v>
      </c>
      <c r="D176" s="19"/>
      <c r="E176" s="489" t="s">
        <v>197</v>
      </c>
      <c r="F176" s="490" t="s">
        <v>235</v>
      </c>
      <c r="G176" s="491" t="s">
        <v>22</v>
      </c>
      <c r="H176" s="492" t="s">
        <v>1450</v>
      </c>
      <c r="I176" s="493" t="s">
        <v>1451</v>
      </c>
    </row>
    <row r="177" spans="1:9" ht="20.100000000000001" customHeight="1">
      <c r="A177" s="143" t="s">
        <v>32</v>
      </c>
      <c r="B177" s="261" t="s">
        <v>22</v>
      </c>
      <c r="C177" s="226" t="s">
        <v>197</v>
      </c>
      <c r="D177" s="19"/>
      <c r="E177" s="489" t="s">
        <v>197</v>
      </c>
      <c r="F177" s="490" t="s">
        <v>32</v>
      </c>
      <c r="G177" s="491" t="s">
        <v>22</v>
      </c>
      <c r="H177" s="492" t="s">
        <v>1452</v>
      </c>
      <c r="I177" s="493" t="s">
        <v>1453</v>
      </c>
    </row>
    <row r="178" spans="1:9" ht="20.100000000000001" customHeight="1">
      <c r="A178" s="143" t="s">
        <v>33</v>
      </c>
      <c r="B178" s="261" t="s">
        <v>22</v>
      </c>
      <c r="C178" s="226" t="s">
        <v>197</v>
      </c>
      <c r="D178" s="19"/>
      <c r="E178" s="489" t="s">
        <v>197</v>
      </c>
      <c r="F178" s="490" t="s">
        <v>33</v>
      </c>
      <c r="G178" s="491" t="s">
        <v>22</v>
      </c>
      <c r="H178" s="492" t="s">
        <v>1454</v>
      </c>
      <c r="I178" s="493" t="s">
        <v>1455</v>
      </c>
    </row>
    <row r="179" spans="1:9" ht="20.100000000000001" customHeight="1">
      <c r="A179" s="143" t="s">
        <v>34</v>
      </c>
      <c r="B179" s="261" t="s">
        <v>22</v>
      </c>
      <c r="C179" s="226" t="s">
        <v>197</v>
      </c>
      <c r="D179" s="19"/>
      <c r="E179" s="489" t="s">
        <v>197</v>
      </c>
      <c r="F179" s="490" t="s">
        <v>34</v>
      </c>
      <c r="G179" s="491" t="s">
        <v>22</v>
      </c>
      <c r="H179" s="492" t="s">
        <v>1456</v>
      </c>
      <c r="I179" s="493" t="s">
        <v>1457</v>
      </c>
    </row>
    <row r="180" spans="1:9" ht="20.100000000000001" customHeight="1">
      <c r="A180" s="143" t="s">
        <v>35</v>
      </c>
      <c r="B180" s="261" t="s">
        <v>22</v>
      </c>
      <c r="C180" s="226" t="s">
        <v>197</v>
      </c>
      <c r="D180" s="19"/>
      <c r="E180" s="489" t="s">
        <v>197</v>
      </c>
      <c r="F180" s="490" t="s">
        <v>35</v>
      </c>
      <c r="G180" s="491" t="s">
        <v>22</v>
      </c>
      <c r="H180" s="492" t="s">
        <v>1458</v>
      </c>
      <c r="I180" s="493" t="s">
        <v>1459</v>
      </c>
    </row>
    <row r="181" spans="1:9" ht="20.100000000000001" customHeight="1">
      <c r="A181" s="143" t="s">
        <v>36</v>
      </c>
      <c r="B181" s="261" t="s">
        <v>22</v>
      </c>
      <c r="C181" s="226" t="s">
        <v>197</v>
      </c>
      <c r="D181" s="19"/>
      <c r="E181" s="489" t="s">
        <v>197</v>
      </c>
      <c r="F181" s="490" t="s">
        <v>36</v>
      </c>
      <c r="G181" s="491" t="s">
        <v>22</v>
      </c>
      <c r="H181" s="492" t="s">
        <v>1460</v>
      </c>
      <c r="I181" s="493" t="s">
        <v>1461</v>
      </c>
    </row>
    <row r="182" spans="1:9" ht="20.100000000000001" customHeight="1">
      <c r="A182" s="143" t="s">
        <v>37</v>
      </c>
      <c r="B182" s="261" t="s">
        <v>22</v>
      </c>
      <c r="C182" s="226" t="s">
        <v>197</v>
      </c>
      <c r="D182" s="19"/>
      <c r="E182" s="489" t="s">
        <v>197</v>
      </c>
      <c r="F182" s="490" t="s">
        <v>37</v>
      </c>
      <c r="G182" s="491" t="s">
        <v>22</v>
      </c>
      <c r="H182" s="492" t="s">
        <v>1462</v>
      </c>
      <c r="I182" s="493" t="s">
        <v>1463</v>
      </c>
    </row>
    <row r="183" spans="1:9" ht="20.100000000000001" customHeight="1">
      <c r="A183" s="143" t="s">
        <v>1011</v>
      </c>
      <c r="B183" s="261" t="s">
        <v>22</v>
      </c>
      <c r="C183" s="226" t="s">
        <v>197</v>
      </c>
      <c r="D183" s="19"/>
      <c r="E183" s="489" t="s">
        <v>197</v>
      </c>
      <c r="F183" s="490" t="s">
        <v>1011</v>
      </c>
      <c r="G183" s="491" t="s">
        <v>22</v>
      </c>
      <c r="H183" s="492" t="s">
        <v>1464</v>
      </c>
      <c r="I183" s="493" t="s">
        <v>1465</v>
      </c>
    </row>
    <row r="184" spans="1:9" ht="20.100000000000001" customHeight="1">
      <c r="A184" s="143" t="s">
        <v>38</v>
      </c>
      <c r="B184" s="261" t="s">
        <v>22</v>
      </c>
      <c r="C184" s="226" t="s">
        <v>197</v>
      </c>
      <c r="D184" s="19"/>
      <c r="E184" s="489" t="s">
        <v>197</v>
      </c>
      <c r="F184" s="490" t="s">
        <v>38</v>
      </c>
      <c r="G184" s="491" t="s">
        <v>22</v>
      </c>
      <c r="H184" s="492" t="s">
        <v>1466</v>
      </c>
      <c r="I184" s="493" t="s">
        <v>1467</v>
      </c>
    </row>
    <row r="185" spans="1:9" ht="20.100000000000001" customHeight="1">
      <c r="A185" s="143" t="s">
        <v>39</v>
      </c>
      <c r="B185" s="261" t="s">
        <v>22</v>
      </c>
      <c r="C185" s="226" t="s">
        <v>197</v>
      </c>
      <c r="D185" s="19"/>
      <c r="E185" s="489" t="s">
        <v>197</v>
      </c>
      <c r="F185" s="490" t="s">
        <v>39</v>
      </c>
      <c r="G185" s="491" t="s">
        <v>22</v>
      </c>
      <c r="H185" s="492" t="s">
        <v>1468</v>
      </c>
      <c r="I185" s="493" t="s">
        <v>1469</v>
      </c>
    </row>
    <row r="186" spans="1:9" ht="20.100000000000001" customHeight="1">
      <c r="A186" s="143" t="s">
        <v>40</v>
      </c>
      <c r="B186" s="261" t="s">
        <v>22</v>
      </c>
      <c r="C186" s="226" t="s">
        <v>197</v>
      </c>
      <c r="D186" s="19"/>
      <c r="E186" s="489" t="s">
        <v>197</v>
      </c>
      <c r="F186" s="490" t="s">
        <v>40</v>
      </c>
      <c r="G186" s="491" t="s">
        <v>22</v>
      </c>
      <c r="H186" s="492" t="s">
        <v>1470</v>
      </c>
      <c r="I186" s="493" t="s">
        <v>1471</v>
      </c>
    </row>
    <row r="187" spans="1:9" ht="20.100000000000001" customHeight="1">
      <c r="A187" s="143" t="s">
        <v>41</v>
      </c>
      <c r="B187" s="261" t="s">
        <v>22</v>
      </c>
      <c r="C187" s="226" t="s">
        <v>197</v>
      </c>
      <c r="D187" s="19"/>
      <c r="E187" s="489" t="s">
        <v>197</v>
      </c>
      <c r="F187" s="490" t="s">
        <v>41</v>
      </c>
      <c r="G187" s="491" t="s">
        <v>22</v>
      </c>
      <c r="H187" s="492" t="s">
        <v>1472</v>
      </c>
      <c r="I187" s="493" t="s">
        <v>1473</v>
      </c>
    </row>
    <row r="188" spans="1:9" ht="20.100000000000001" customHeight="1">
      <c r="A188" s="143" t="s">
        <v>42</v>
      </c>
      <c r="B188" s="261" t="s">
        <v>22</v>
      </c>
      <c r="C188" s="226" t="s">
        <v>197</v>
      </c>
      <c r="D188" s="19"/>
      <c r="E188" s="489" t="s">
        <v>197</v>
      </c>
      <c r="F188" s="490" t="s">
        <v>42</v>
      </c>
      <c r="G188" s="491" t="s">
        <v>22</v>
      </c>
      <c r="H188" s="492" t="s">
        <v>1474</v>
      </c>
      <c r="I188" s="493" t="s">
        <v>1475</v>
      </c>
    </row>
    <row r="189" spans="1:9" ht="20.100000000000001" customHeight="1">
      <c r="A189" s="143" t="s">
        <v>43</v>
      </c>
      <c r="B189" s="261" t="s">
        <v>22</v>
      </c>
      <c r="C189" s="226" t="s">
        <v>197</v>
      </c>
      <c r="D189" s="19"/>
      <c r="E189" s="489" t="s">
        <v>197</v>
      </c>
      <c r="F189" s="490" t="s">
        <v>43</v>
      </c>
      <c r="G189" s="491" t="s">
        <v>22</v>
      </c>
      <c r="H189" s="492" t="s">
        <v>1476</v>
      </c>
      <c r="I189" s="493" t="s">
        <v>1477</v>
      </c>
    </row>
    <row r="190" spans="1:9" ht="20.100000000000001" customHeight="1">
      <c r="A190" s="143" t="s">
        <v>44</v>
      </c>
      <c r="B190" s="261" t="s">
        <v>22</v>
      </c>
      <c r="C190" s="226" t="s">
        <v>197</v>
      </c>
      <c r="D190" s="19"/>
      <c r="E190" s="489" t="s">
        <v>197</v>
      </c>
      <c r="F190" s="490" t="s">
        <v>44</v>
      </c>
      <c r="G190" s="491" t="s">
        <v>22</v>
      </c>
      <c r="H190" s="492" t="s">
        <v>1478</v>
      </c>
      <c r="I190" s="493" t="s">
        <v>1479</v>
      </c>
    </row>
    <row r="191" spans="1:9" ht="20.100000000000001" customHeight="1">
      <c r="A191" s="143" t="s">
        <v>45</v>
      </c>
      <c r="B191" s="261" t="s">
        <v>22</v>
      </c>
      <c r="C191" s="226" t="s">
        <v>197</v>
      </c>
      <c r="D191" s="19"/>
      <c r="E191" s="489" t="s">
        <v>197</v>
      </c>
      <c r="F191" s="490" t="s">
        <v>45</v>
      </c>
      <c r="G191" s="491" t="s">
        <v>22</v>
      </c>
      <c r="H191" s="492" t="s">
        <v>1480</v>
      </c>
      <c r="I191" s="493" t="s">
        <v>1481</v>
      </c>
    </row>
    <row r="192" spans="1:9" ht="20.100000000000001" customHeight="1">
      <c r="A192" s="143" t="s">
        <v>46</v>
      </c>
      <c r="B192" s="261" t="s">
        <v>22</v>
      </c>
      <c r="C192" s="226" t="s">
        <v>197</v>
      </c>
      <c r="D192" s="19"/>
      <c r="E192" s="489" t="s">
        <v>197</v>
      </c>
      <c r="F192" s="490" t="s">
        <v>46</v>
      </c>
      <c r="G192" s="491" t="s">
        <v>22</v>
      </c>
      <c r="H192" s="492" t="s">
        <v>1482</v>
      </c>
      <c r="I192" s="493" t="s">
        <v>1483</v>
      </c>
    </row>
    <row r="193" spans="1:9" ht="20.100000000000001" customHeight="1">
      <c r="A193" s="143" t="s">
        <v>47</v>
      </c>
      <c r="B193" s="261" t="s">
        <v>22</v>
      </c>
      <c r="C193" s="226" t="s">
        <v>197</v>
      </c>
      <c r="D193" s="19"/>
      <c r="E193" s="489" t="s">
        <v>197</v>
      </c>
      <c r="F193" s="490" t="s">
        <v>47</v>
      </c>
      <c r="G193" s="491" t="s">
        <v>22</v>
      </c>
      <c r="H193" s="492" t="s">
        <v>1484</v>
      </c>
      <c r="I193" s="493" t="s">
        <v>1485</v>
      </c>
    </row>
    <row r="194" spans="1:9" ht="20.100000000000001" customHeight="1">
      <c r="A194" s="143" t="s">
        <v>48</v>
      </c>
      <c r="B194" s="261" t="s">
        <v>22</v>
      </c>
      <c r="C194" s="226" t="s">
        <v>197</v>
      </c>
      <c r="D194" s="19"/>
      <c r="E194" s="489" t="s">
        <v>197</v>
      </c>
      <c r="F194" s="490" t="s">
        <v>48</v>
      </c>
      <c r="G194" s="491" t="s">
        <v>22</v>
      </c>
      <c r="H194" s="492" t="s">
        <v>1486</v>
      </c>
      <c r="I194" s="493" t="s">
        <v>1487</v>
      </c>
    </row>
    <row r="195" spans="1:9" ht="20.100000000000001" customHeight="1">
      <c r="A195" s="143" t="s">
        <v>49</v>
      </c>
      <c r="B195" s="261" t="s">
        <v>22</v>
      </c>
      <c r="C195" s="226" t="s">
        <v>197</v>
      </c>
      <c r="D195" s="19"/>
      <c r="E195" s="489" t="s">
        <v>197</v>
      </c>
      <c r="F195" s="490" t="s">
        <v>49</v>
      </c>
      <c r="G195" s="491" t="s">
        <v>22</v>
      </c>
      <c r="H195" s="492" t="s">
        <v>1488</v>
      </c>
      <c r="I195" s="493" t="s">
        <v>1489</v>
      </c>
    </row>
    <row r="196" spans="1:9" ht="20.100000000000001" customHeight="1">
      <c r="A196" s="143" t="s">
        <v>50</v>
      </c>
      <c r="B196" s="261" t="s">
        <v>22</v>
      </c>
      <c r="C196" s="226" t="s">
        <v>197</v>
      </c>
      <c r="D196" s="19"/>
      <c r="E196" s="489" t="s">
        <v>197</v>
      </c>
      <c r="F196" s="490" t="s">
        <v>50</v>
      </c>
      <c r="G196" s="491" t="s">
        <v>22</v>
      </c>
      <c r="H196" s="492" t="s">
        <v>1490</v>
      </c>
      <c r="I196" s="493" t="s">
        <v>1491</v>
      </c>
    </row>
    <row r="197" spans="1:9" ht="20.100000000000001" customHeight="1">
      <c r="A197" s="143" t="s">
        <v>51</v>
      </c>
      <c r="B197" s="261" t="s">
        <v>22</v>
      </c>
      <c r="C197" s="226" t="s">
        <v>197</v>
      </c>
      <c r="D197" s="19"/>
      <c r="E197" s="489" t="s">
        <v>197</v>
      </c>
      <c r="F197" s="490" t="s">
        <v>51</v>
      </c>
      <c r="G197" s="491" t="s">
        <v>22</v>
      </c>
      <c r="H197" s="492" t="s">
        <v>1492</v>
      </c>
      <c r="I197" s="493" t="s">
        <v>1493</v>
      </c>
    </row>
    <row r="198" spans="1:9" ht="20.100000000000001" customHeight="1">
      <c r="A198" s="143" t="s">
        <v>52</v>
      </c>
      <c r="B198" s="261" t="s">
        <v>22</v>
      </c>
      <c r="C198" s="226" t="s">
        <v>197</v>
      </c>
      <c r="D198" s="19"/>
      <c r="E198" s="489" t="s">
        <v>197</v>
      </c>
      <c r="F198" s="490" t="s">
        <v>52</v>
      </c>
      <c r="G198" s="491" t="s">
        <v>22</v>
      </c>
      <c r="H198" s="492" t="s">
        <v>1494</v>
      </c>
      <c r="I198" s="493" t="s">
        <v>1495</v>
      </c>
    </row>
    <row r="199" spans="1:9" ht="20.100000000000001" customHeight="1">
      <c r="A199" s="143" t="s">
        <v>53</v>
      </c>
      <c r="B199" s="261" t="s">
        <v>22</v>
      </c>
      <c r="C199" s="226" t="s">
        <v>197</v>
      </c>
      <c r="D199" s="19"/>
      <c r="E199" s="489" t="s">
        <v>197</v>
      </c>
      <c r="F199" s="490" t="s">
        <v>53</v>
      </c>
      <c r="G199" s="491" t="s">
        <v>22</v>
      </c>
      <c r="H199" s="492" t="s">
        <v>1496</v>
      </c>
      <c r="I199" s="493" t="s">
        <v>1497</v>
      </c>
    </row>
    <row r="200" spans="1:9" ht="20.100000000000001" customHeight="1">
      <c r="A200" s="143" t="s">
        <v>54</v>
      </c>
      <c r="B200" s="261" t="s">
        <v>22</v>
      </c>
      <c r="C200" s="226" t="s">
        <v>197</v>
      </c>
      <c r="D200" s="19"/>
      <c r="E200" s="489" t="s">
        <v>197</v>
      </c>
      <c r="F200" s="490" t="s">
        <v>54</v>
      </c>
      <c r="G200" s="491" t="s">
        <v>22</v>
      </c>
      <c r="H200" s="492" t="s">
        <v>1498</v>
      </c>
      <c r="I200" s="493" t="s">
        <v>1499</v>
      </c>
    </row>
    <row r="201" spans="1:9" ht="20.100000000000001" customHeight="1">
      <c r="A201" s="143" t="s">
        <v>55</v>
      </c>
      <c r="B201" s="261" t="s">
        <v>22</v>
      </c>
      <c r="C201" s="226" t="s">
        <v>197</v>
      </c>
      <c r="D201" s="19"/>
      <c r="E201" s="489" t="s">
        <v>197</v>
      </c>
      <c r="F201" s="490" t="s">
        <v>55</v>
      </c>
      <c r="G201" s="491" t="s">
        <v>22</v>
      </c>
      <c r="H201" s="492" t="s">
        <v>1500</v>
      </c>
      <c r="I201" s="493" t="s">
        <v>1501</v>
      </c>
    </row>
    <row r="202" spans="1:9" ht="20.100000000000001" customHeight="1">
      <c r="A202" s="143" t="s">
        <v>56</v>
      </c>
      <c r="B202" s="261" t="s">
        <v>22</v>
      </c>
      <c r="C202" s="226" t="s">
        <v>197</v>
      </c>
      <c r="D202" s="19"/>
      <c r="E202" s="489" t="s">
        <v>197</v>
      </c>
      <c r="F202" s="490" t="s">
        <v>56</v>
      </c>
      <c r="G202" s="491" t="s">
        <v>22</v>
      </c>
      <c r="H202" s="492" t="s">
        <v>1502</v>
      </c>
      <c r="I202" s="493" t="s">
        <v>1503</v>
      </c>
    </row>
    <row r="203" spans="1:9" ht="20.100000000000001" customHeight="1">
      <c r="A203" s="143" t="s">
        <v>57</v>
      </c>
      <c r="B203" s="261" t="s">
        <v>22</v>
      </c>
      <c r="C203" s="226" t="s">
        <v>197</v>
      </c>
      <c r="D203" s="19"/>
      <c r="E203" s="489" t="s">
        <v>197</v>
      </c>
      <c r="F203" s="490" t="s">
        <v>57</v>
      </c>
      <c r="G203" s="491" t="s">
        <v>22</v>
      </c>
      <c r="H203" s="492" t="s">
        <v>1504</v>
      </c>
      <c r="I203" s="493" t="s">
        <v>1505</v>
      </c>
    </row>
    <row r="204" spans="1:9" ht="20.100000000000001" customHeight="1">
      <c r="A204" s="143" t="s">
        <v>58</v>
      </c>
      <c r="B204" s="261" t="s">
        <v>22</v>
      </c>
      <c r="C204" s="226" t="s">
        <v>197</v>
      </c>
      <c r="D204" s="19"/>
      <c r="E204" s="489" t="s">
        <v>197</v>
      </c>
      <c r="F204" s="490" t="s">
        <v>58</v>
      </c>
      <c r="G204" s="491" t="s">
        <v>22</v>
      </c>
      <c r="H204" s="492" t="s">
        <v>1506</v>
      </c>
      <c r="I204" s="493" t="s">
        <v>1507</v>
      </c>
    </row>
    <row r="205" spans="1:9" ht="20.100000000000001" customHeight="1">
      <c r="A205" s="307" t="s">
        <v>59</v>
      </c>
      <c r="B205" s="261" t="s">
        <v>22</v>
      </c>
      <c r="C205" s="226" t="s">
        <v>197</v>
      </c>
      <c r="D205" s="19"/>
      <c r="E205" s="489" t="s">
        <v>197</v>
      </c>
      <c r="F205" s="490" t="s">
        <v>59</v>
      </c>
      <c r="G205" s="491" t="s">
        <v>22</v>
      </c>
      <c r="H205" s="492" t="s">
        <v>1508</v>
      </c>
      <c r="I205" s="493" t="s">
        <v>1509</v>
      </c>
    </row>
    <row r="206" spans="1:9" ht="20.100000000000001" customHeight="1">
      <c r="A206" s="143" t="s">
        <v>60</v>
      </c>
      <c r="B206" s="261" t="s">
        <v>22</v>
      </c>
      <c r="C206" s="226" t="s">
        <v>197</v>
      </c>
      <c r="D206" s="19"/>
      <c r="E206" s="489" t="s">
        <v>197</v>
      </c>
      <c r="F206" s="490" t="s">
        <v>60</v>
      </c>
      <c r="G206" s="491" t="s">
        <v>22</v>
      </c>
      <c r="H206" s="492" t="s">
        <v>1510</v>
      </c>
      <c r="I206" s="493" t="s">
        <v>1511</v>
      </c>
    </row>
    <row r="207" spans="1:9" ht="20.100000000000001" customHeight="1">
      <c r="A207" s="143" t="s">
        <v>61</v>
      </c>
      <c r="B207" s="261" t="s">
        <v>22</v>
      </c>
      <c r="C207" s="226" t="s">
        <v>197</v>
      </c>
      <c r="D207" s="19"/>
      <c r="E207" s="489" t="s">
        <v>197</v>
      </c>
      <c r="F207" s="490" t="s">
        <v>61</v>
      </c>
      <c r="G207" s="491" t="s">
        <v>22</v>
      </c>
      <c r="H207" s="492" t="s">
        <v>1512</v>
      </c>
      <c r="I207" s="493" t="s">
        <v>1513</v>
      </c>
    </row>
    <row r="208" spans="1:9" ht="20.100000000000001" customHeight="1">
      <c r="A208" s="143" t="s">
        <v>62</v>
      </c>
      <c r="B208" s="261" t="s">
        <v>22</v>
      </c>
      <c r="C208" s="226" t="s">
        <v>197</v>
      </c>
      <c r="D208" s="19"/>
      <c r="E208" s="489" t="s">
        <v>197</v>
      </c>
      <c r="F208" s="490" t="s">
        <v>62</v>
      </c>
      <c r="G208" s="491" t="s">
        <v>22</v>
      </c>
      <c r="H208" s="492" t="s">
        <v>1514</v>
      </c>
      <c r="I208" s="493" t="s">
        <v>1515</v>
      </c>
    </row>
    <row r="209" spans="1:9" ht="20.100000000000001" customHeight="1">
      <c r="A209" s="143" t="s">
        <v>63</v>
      </c>
      <c r="B209" s="261" t="s">
        <v>22</v>
      </c>
      <c r="C209" s="226" t="s">
        <v>197</v>
      </c>
      <c r="D209" s="19"/>
      <c r="E209" s="489" t="s">
        <v>197</v>
      </c>
      <c r="F209" s="490" t="s">
        <v>63</v>
      </c>
      <c r="G209" s="491" t="s">
        <v>22</v>
      </c>
      <c r="H209" s="492" t="s">
        <v>1516</v>
      </c>
      <c r="I209" s="493" t="s">
        <v>1517</v>
      </c>
    </row>
    <row r="210" spans="1:9" ht="20.100000000000001" customHeight="1" thickBot="1">
      <c r="A210" s="142" t="s">
        <v>64</v>
      </c>
      <c r="B210" s="259" t="s">
        <v>22</v>
      </c>
      <c r="C210" s="234" t="s">
        <v>197</v>
      </c>
      <c r="D210" s="19"/>
      <c r="E210" s="479" t="s">
        <v>197</v>
      </c>
      <c r="F210" s="480" t="s">
        <v>64</v>
      </c>
      <c r="G210" s="481" t="s">
        <v>22</v>
      </c>
      <c r="H210" s="494" t="s">
        <v>1518</v>
      </c>
      <c r="I210" s="495" t="s">
        <v>1519</v>
      </c>
    </row>
    <row r="211" spans="1:9" ht="20.100000000000001" customHeight="1">
      <c r="A211" s="141" t="s">
        <v>21</v>
      </c>
      <c r="B211" s="258" t="s">
        <v>4</v>
      </c>
      <c r="C211" s="233" t="s">
        <v>5</v>
      </c>
      <c r="D211" s="19"/>
      <c r="E211" s="474" t="s">
        <v>5</v>
      </c>
      <c r="F211" s="475" t="s">
        <v>21</v>
      </c>
      <c r="G211" s="476" t="s">
        <v>4</v>
      </c>
      <c r="H211" s="477" t="s">
        <v>1520</v>
      </c>
      <c r="I211" s="478" t="s">
        <v>1521</v>
      </c>
    </row>
    <row r="212" spans="1:9" ht="20.100000000000001" customHeight="1">
      <c r="A212" s="143" t="s">
        <v>25</v>
      </c>
      <c r="B212" s="261" t="s">
        <v>4</v>
      </c>
      <c r="C212" s="226" t="s">
        <v>5</v>
      </c>
      <c r="D212" s="19"/>
      <c r="E212" s="489" t="s">
        <v>5</v>
      </c>
      <c r="F212" s="490" t="s">
        <v>25</v>
      </c>
      <c r="G212" s="491" t="s">
        <v>4</v>
      </c>
      <c r="H212" s="492" t="s">
        <v>1522</v>
      </c>
      <c r="I212" s="493" t="s">
        <v>1523</v>
      </c>
    </row>
    <row r="213" spans="1:9" ht="20.100000000000001" customHeight="1">
      <c r="A213" s="143" t="s">
        <v>1105</v>
      </c>
      <c r="B213" s="261" t="s">
        <v>4</v>
      </c>
      <c r="C213" s="226" t="s">
        <v>5</v>
      </c>
      <c r="D213" s="19"/>
      <c r="E213" s="489" t="s">
        <v>5</v>
      </c>
      <c r="F213" s="490" t="s">
        <v>1105</v>
      </c>
      <c r="G213" s="491" t="s">
        <v>4</v>
      </c>
      <c r="H213" s="492" t="s">
        <v>1524</v>
      </c>
      <c r="I213" s="493" t="s">
        <v>1525</v>
      </c>
    </row>
    <row r="214" spans="1:9" ht="20.100000000000001" customHeight="1">
      <c r="A214" s="143" t="s">
        <v>1106</v>
      </c>
      <c r="B214" s="261" t="s">
        <v>4</v>
      </c>
      <c r="C214" s="226" t="s">
        <v>5</v>
      </c>
      <c r="D214" s="19"/>
      <c r="E214" s="489" t="s">
        <v>5</v>
      </c>
      <c r="F214" s="490" t="s">
        <v>1106</v>
      </c>
      <c r="G214" s="491" t="s">
        <v>4</v>
      </c>
      <c r="H214" s="492" t="s">
        <v>1526</v>
      </c>
      <c r="I214" s="493" t="s">
        <v>1527</v>
      </c>
    </row>
    <row r="215" spans="1:9" ht="20.100000000000001" customHeight="1">
      <c r="A215" s="143" t="s">
        <v>1107</v>
      </c>
      <c r="B215" s="261" t="s">
        <v>4</v>
      </c>
      <c r="C215" s="226" t="s">
        <v>5</v>
      </c>
      <c r="D215" s="19"/>
      <c r="E215" s="489" t="s">
        <v>5</v>
      </c>
      <c r="F215" s="490" t="s">
        <v>1107</v>
      </c>
      <c r="G215" s="491" t="s">
        <v>4</v>
      </c>
      <c r="H215" s="492" t="s">
        <v>1528</v>
      </c>
      <c r="I215" s="493" t="s">
        <v>1529</v>
      </c>
    </row>
    <row r="216" spans="1:9" ht="20.100000000000001" customHeight="1">
      <c r="A216" s="143" t="s">
        <v>1108</v>
      </c>
      <c r="B216" s="261" t="s">
        <v>4</v>
      </c>
      <c r="C216" s="226" t="s">
        <v>5</v>
      </c>
      <c r="D216" s="19"/>
      <c r="E216" s="489" t="s">
        <v>5</v>
      </c>
      <c r="F216" s="490" t="s">
        <v>1108</v>
      </c>
      <c r="G216" s="491" t="s">
        <v>4</v>
      </c>
      <c r="H216" s="492" t="s">
        <v>1530</v>
      </c>
      <c r="I216" s="493" t="s">
        <v>1531</v>
      </c>
    </row>
    <row r="217" spans="1:9" ht="20.100000000000001" customHeight="1">
      <c r="A217" s="143" t="s">
        <v>1109</v>
      </c>
      <c r="B217" s="261" t="s">
        <v>4</v>
      </c>
      <c r="C217" s="226" t="s">
        <v>5</v>
      </c>
      <c r="D217" s="19"/>
      <c r="E217" s="489" t="s">
        <v>5</v>
      </c>
      <c r="F217" s="490" t="s">
        <v>1109</v>
      </c>
      <c r="G217" s="491" t="s">
        <v>4</v>
      </c>
      <c r="H217" s="492" t="s">
        <v>1532</v>
      </c>
      <c r="I217" s="493" t="s">
        <v>1533</v>
      </c>
    </row>
    <row r="218" spans="1:9" ht="20.100000000000001" customHeight="1">
      <c r="A218" s="143" t="s">
        <v>1110</v>
      </c>
      <c r="B218" s="261" t="s">
        <v>4</v>
      </c>
      <c r="C218" s="226" t="s">
        <v>5</v>
      </c>
      <c r="D218" s="19"/>
      <c r="E218" s="489" t="s">
        <v>5</v>
      </c>
      <c r="F218" s="490" t="s">
        <v>1110</v>
      </c>
      <c r="G218" s="491" t="s">
        <v>4</v>
      </c>
      <c r="H218" s="492" t="s">
        <v>1534</v>
      </c>
      <c r="I218" s="493" t="s">
        <v>1535</v>
      </c>
    </row>
    <row r="219" spans="1:9" ht="20.100000000000001" customHeight="1" thickBot="1">
      <c r="A219" s="142" t="s">
        <v>236</v>
      </c>
      <c r="B219" s="259" t="s">
        <v>4</v>
      </c>
      <c r="C219" s="234" t="s">
        <v>5</v>
      </c>
      <c r="D219" s="19"/>
      <c r="E219" s="479" t="s">
        <v>5</v>
      </c>
      <c r="F219" s="480" t="s">
        <v>236</v>
      </c>
      <c r="G219" s="481" t="s">
        <v>4</v>
      </c>
      <c r="H219" s="482" t="s">
        <v>1536</v>
      </c>
      <c r="I219" s="483" t="s">
        <v>1537</v>
      </c>
    </row>
    <row r="220" spans="1:9" ht="20.100000000000001" customHeight="1">
      <c r="A220" s="141" t="s">
        <v>175</v>
      </c>
      <c r="B220" s="258" t="s">
        <v>71</v>
      </c>
      <c r="C220" s="233" t="s">
        <v>1111</v>
      </c>
      <c r="D220" s="19"/>
      <c r="E220" s="474" t="s">
        <v>1111</v>
      </c>
      <c r="F220" s="475" t="s">
        <v>175</v>
      </c>
      <c r="G220" s="476" t="s">
        <v>71</v>
      </c>
      <c r="H220" s="477" t="s">
        <v>1538</v>
      </c>
      <c r="I220" s="478" t="s">
        <v>1539</v>
      </c>
    </row>
    <row r="221" spans="1:9" ht="20.100000000000001" customHeight="1">
      <c r="A221" s="143" t="s">
        <v>79</v>
      </c>
      <c r="B221" s="261" t="s">
        <v>71</v>
      </c>
      <c r="C221" s="226" t="s">
        <v>1111</v>
      </c>
      <c r="D221" s="19"/>
      <c r="E221" s="489" t="s">
        <v>1111</v>
      </c>
      <c r="F221" s="490" t="s">
        <v>79</v>
      </c>
      <c r="G221" s="491" t="s">
        <v>71</v>
      </c>
      <c r="H221" s="492" t="s">
        <v>1540</v>
      </c>
      <c r="I221" s="493" t="s">
        <v>1541</v>
      </c>
    </row>
    <row r="222" spans="1:9" ht="20.100000000000001" customHeight="1">
      <c r="A222" s="143" t="s">
        <v>80</v>
      </c>
      <c r="B222" s="261" t="s">
        <v>71</v>
      </c>
      <c r="C222" s="226" t="s">
        <v>1111</v>
      </c>
      <c r="D222" s="19"/>
      <c r="E222" s="489" t="s">
        <v>1111</v>
      </c>
      <c r="F222" s="490" t="s">
        <v>80</v>
      </c>
      <c r="G222" s="491" t="s">
        <v>71</v>
      </c>
      <c r="H222" s="492" t="s">
        <v>1542</v>
      </c>
      <c r="I222" s="493" t="s">
        <v>1543</v>
      </c>
    </row>
    <row r="223" spans="1:9" ht="20.100000000000001" customHeight="1">
      <c r="A223" s="143" t="s">
        <v>81</v>
      </c>
      <c r="B223" s="261" t="s">
        <v>71</v>
      </c>
      <c r="C223" s="226" t="s">
        <v>1111</v>
      </c>
      <c r="D223" s="19"/>
      <c r="E223" s="489" t="s">
        <v>1111</v>
      </c>
      <c r="F223" s="490" t="s">
        <v>81</v>
      </c>
      <c r="G223" s="491" t="s">
        <v>71</v>
      </c>
      <c r="H223" s="492" t="s">
        <v>1544</v>
      </c>
      <c r="I223" s="493" t="s">
        <v>1545</v>
      </c>
    </row>
    <row r="224" spans="1:9" ht="20.100000000000001" customHeight="1">
      <c r="A224" s="143" t="s">
        <v>837</v>
      </c>
      <c r="B224" s="261" t="s">
        <v>71</v>
      </c>
      <c r="C224" s="226" t="s">
        <v>1111</v>
      </c>
      <c r="D224" s="19"/>
      <c r="E224" s="489" t="s">
        <v>1111</v>
      </c>
      <c r="F224" s="490" t="s">
        <v>837</v>
      </c>
      <c r="G224" s="491" t="s">
        <v>71</v>
      </c>
      <c r="H224" s="492" t="s">
        <v>1546</v>
      </c>
      <c r="I224" s="493" t="s">
        <v>1547</v>
      </c>
    </row>
    <row r="225" spans="1:9" ht="20.100000000000001" customHeight="1">
      <c r="A225" s="143" t="s">
        <v>84</v>
      </c>
      <c r="B225" s="261" t="s">
        <v>71</v>
      </c>
      <c r="C225" s="226" t="s">
        <v>1111</v>
      </c>
      <c r="D225" s="19"/>
      <c r="E225" s="489" t="s">
        <v>1111</v>
      </c>
      <c r="F225" s="490" t="s">
        <v>84</v>
      </c>
      <c r="G225" s="491" t="s">
        <v>71</v>
      </c>
      <c r="H225" s="492" t="s">
        <v>1548</v>
      </c>
      <c r="I225" s="493" t="s">
        <v>1549</v>
      </c>
    </row>
    <row r="226" spans="1:9" ht="20.100000000000001" customHeight="1">
      <c r="A226" s="143" t="s">
        <v>85</v>
      </c>
      <c r="B226" s="261" t="s">
        <v>71</v>
      </c>
      <c r="C226" s="226" t="s">
        <v>1111</v>
      </c>
      <c r="D226" s="19"/>
      <c r="E226" s="489" t="s">
        <v>1111</v>
      </c>
      <c r="F226" s="490" t="s">
        <v>85</v>
      </c>
      <c r="G226" s="491" t="s">
        <v>71</v>
      </c>
      <c r="H226" s="492" t="s">
        <v>1550</v>
      </c>
      <c r="I226" s="493" t="s">
        <v>1551</v>
      </c>
    </row>
    <row r="227" spans="1:9" ht="20.100000000000001" customHeight="1">
      <c r="A227" s="143" t="s">
        <v>176</v>
      </c>
      <c r="B227" s="261" t="s">
        <v>71</v>
      </c>
      <c r="C227" s="226" t="s">
        <v>1111</v>
      </c>
      <c r="D227" s="19"/>
      <c r="E227" s="489" t="s">
        <v>1111</v>
      </c>
      <c r="F227" s="490" t="s">
        <v>176</v>
      </c>
      <c r="G227" s="491" t="s">
        <v>71</v>
      </c>
      <c r="H227" s="492" t="s">
        <v>1552</v>
      </c>
      <c r="I227" s="493" t="s">
        <v>1553</v>
      </c>
    </row>
    <row r="228" spans="1:9" ht="20.100000000000001" customHeight="1">
      <c r="A228" s="144" t="s">
        <v>82</v>
      </c>
      <c r="B228" s="261" t="s">
        <v>71</v>
      </c>
      <c r="C228" s="228" t="s">
        <v>1111</v>
      </c>
      <c r="D228" s="19"/>
      <c r="E228" s="489" t="s">
        <v>1111</v>
      </c>
      <c r="F228" s="490" t="s">
        <v>82</v>
      </c>
      <c r="G228" s="491" t="s">
        <v>71</v>
      </c>
      <c r="H228" s="492" t="s">
        <v>1554</v>
      </c>
      <c r="I228" s="493" t="s">
        <v>1555</v>
      </c>
    </row>
    <row r="229" spans="1:9" ht="20.100000000000001" customHeight="1" thickBot="1">
      <c r="A229" s="241" t="s">
        <v>83</v>
      </c>
      <c r="B229" s="242" t="s">
        <v>71</v>
      </c>
      <c r="C229" s="243" t="s">
        <v>1111</v>
      </c>
      <c r="D229" s="7"/>
      <c r="E229" s="479" t="s">
        <v>1111</v>
      </c>
      <c r="F229" s="480" t="s">
        <v>83</v>
      </c>
      <c r="G229" s="481" t="s">
        <v>71</v>
      </c>
      <c r="H229" s="482" t="s">
        <v>1556</v>
      </c>
      <c r="I229" s="483" t="s">
        <v>1557</v>
      </c>
    </row>
    <row r="230" spans="1:9" ht="20.100000000000001" customHeight="1">
      <c r="A230" s="146" t="s">
        <v>167</v>
      </c>
      <c r="B230" s="150" t="s">
        <v>22</v>
      </c>
      <c r="C230" s="244" t="s">
        <v>1112</v>
      </c>
      <c r="D230" s="7"/>
      <c r="E230" s="474" t="s">
        <v>1112</v>
      </c>
      <c r="F230" s="475" t="s">
        <v>167</v>
      </c>
      <c r="G230" s="476" t="s">
        <v>22</v>
      </c>
      <c r="H230" s="477" t="s">
        <v>1558</v>
      </c>
      <c r="I230" s="478" t="s">
        <v>1559</v>
      </c>
    </row>
    <row r="231" spans="1:9" ht="20.100000000000001" customHeight="1" thickBot="1">
      <c r="A231" s="145" t="s">
        <v>170</v>
      </c>
      <c r="B231" s="151" t="s">
        <v>22</v>
      </c>
      <c r="C231" s="149" t="s">
        <v>1112</v>
      </c>
      <c r="D231" s="7"/>
      <c r="E231" s="479" t="s">
        <v>1112</v>
      </c>
      <c r="F231" s="480" t="s">
        <v>170</v>
      </c>
      <c r="G231" s="481" t="s">
        <v>22</v>
      </c>
      <c r="H231" s="482" t="s">
        <v>1560</v>
      </c>
      <c r="I231" s="483" t="s">
        <v>1561</v>
      </c>
    </row>
    <row r="232" spans="1:9" ht="20.100000000000001" customHeight="1">
      <c r="A232" s="146" t="s">
        <v>1030</v>
      </c>
      <c r="B232" s="150" t="s">
        <v>86</v>
      </c>
      <c r="C232" s="244" t="s">
        <v>1113</v>
      </c>
      <c r="D232" s="7"/>
      <c r="E232" s="508" t="s">
        <v>1113</v>
      </c>
      <c r="F232" s="509" t="s">
        <v>1030</v>
      </c>
      <c r="G232" s="304" t="s">
        <v>86</v>
      </c>
      <c r="H232" s="477" t="s">
        <v>1562</v>
      </c>
      <c r="I232" s="478" t="s">
        <v>1563</v>
      </c>
    </row>
    <row r="233" spans="1:9" ht="20.100000000000001" customHeight="1">
      <c r="A233" s="144" t="s">
        <v>188</v>
      </c>
      <c r="B233" s="80" t="s">
        <v>86</v>
      </c>
      <c r="C233" s="228" t="s">
        <v>1113</v>
      </c>
      <c r="D233" s="7"/>
      <c r="E233" s="510" t="s">
        <v>1113</v>
      </c>
      <c r="F233" s="511" t="s">
        <v>188</v>
      </c>
      <c r="G233" s="305" t="s">
        <v>86</v>
      </c>
      <c r="H233" s="492" t="s">
        <v>1564</v>
      </c>
      <c r="I233" s="493" t="s">
        <v>1565</v>
      </c>
    </row>
    <row r="234" spans="1:9" ht="20.100000000000001" customHeight="1">
      <c r="A234" s="144" t="s">
        <v>189</v>
      </c>
      <c r="B234" s="80" t="s">
        <v>86</v>
      </c>
      <c r="C234" s="228" t="s">
        <v>1113</v>
      </c>
      <c r="D234" s="5"/>
      <c r="E234" s="510" t="s">
        <v>1113</v>
      </c>
      <c r="F234" s="511" t="s">
        <v>189</v>
      </c>
      <c r="G234" s="305" t="s">
        <v>86</v>
      </c>
      <c r="H234" s="492" t="s">
        <v>1566</v>
      </c>
      <c r="I234" s="493" t="s">
        <v>1567</v>
      </c>
    </row>
    <row r="235" spans="1:9" ht="20.100000000000001" customHeight="1">
      <c r="A235" s="144" t="s">
        <v>209</v>
      </c>
      <c r="B235" s="80" t="s">
        <v>86</v>
      </c>
      <c r="C235" s="228" t="s">
        <v>1113</v>
      </c>
      <c r="E235" s="510" t="s">
        <v>1113</v>
      </c>
      <c r="F235" s="511" t="s">
        <v>209</v>
      </c>
      <c r="G235" s="305" t="s">
        <v>86</v>
      </c>
      <c r="H235" s="492" t="s">
        <v>1568</v>
      </c>
      <c r="I235" s="493" t="s">
        <v>1569</v>
      </c>
    </row>
    <row r="236" spans="1:9" ht="20.100000000000001" customHeight="1">
      <c r="A236" s="144" t="s">
        <v>1095</v>
      </c>
      <c r="B236" s="261" t="s">
        <v>104</v>
      </c>
      <c r="C236" s="228" t="s">
        <v>1113</v>
      </c>
      <c r="E236" s="510" t="s">
        <v>1113</v>
      </c>
      <c r="F236" s="511" t="s">
        <v>1095</v>
      </c>
      <c r="G236" s="305" t="s">
        <v>104</v>
      </c>
      <c r="H236" s="492" t="s">
        <v>1570</v>
      </c>
      <c r="I236" s="493" t="s">
        <v>1571</v>
      </c>
    </row>
    <row r="237" spans="1:9" ht="20.100000000000001" customHeight="1">
      <c r="A237" s="144" t="s">
        <v>190</v>
      </c>
      <c r="B237" s="261" t="s">
        <v>104</v>
      </c>
      <c r="C237" s="228" t="s">
        <v>1113</v>
      </c>
      <c r="E237" s="510" t="s">
        <v>1113</v>
      </c>
      <c r="F237" s="511" t="s">
        <v>190</v>
      </c>
      <c r="G237" s="305" t="s">
        <v>104</v>
      </c>
      <c r="H237" s="492" t="s">
        <v>1572</v>
      </c>
      <c r="I237" s="493" t="s">
        <v>1573</v>
      </c>
    </row>
    <row r="238" spans="1:9" ht="20.100000000000001" customHeight="1">
      <c r="A238" s="144" t="s">
        <v>1096</v>
      </c>
      <c r="B238" s="261" t="s">
        <v>104</v>
      </c>
      <c r="C238" s="228" t="s">
        <v>1113</v>
      </c>
      <c r="E238" s="510" t="s">
        <v>1113</v>
      </c>
      <c r="F238" s="511" t="s">
        <v>1096</v>
      </c>
      <c r="G238" s="305" t="s">
        <v>104</v>
      </c>
      <c r="H238" s="492" t="s">
        <v>1574</v>
      </c>
      <c r="I238" s="493" t="s">
        <v>1575</v>
      </c>
    </row>
    <row r="239" spans="1:9" ht="20.100000000000001" customHeight="1" thickBot="1">
      <c r="A239" s="269" t="s">
        <v>91</v>
      </c>
      <c r="B239" s="259" t="s">
        <v>86</v>
      </c>
      <c r="C239" s="149" t="s">
        <v>1113</v>
      </c>
      <c r="E239" s="512" t="s">
        <v>1113</v>
      </c>
      <c r="F239" s="513" t="s">
        <v>91</v>
      </c>
      <c r="G239" s="481" t="s">
        <v>86</v>
      </c>
      <c r="H239" s="482" t="s">
        <v>1576</v>
      </c>
      <c r="I239" s="483" t="s">
        <v>1577</v>
      </c>
    </row>
    <row r="240" spans="1:9" ht="20.100000000000001" customHeight="1">
      <c r="A240" s="146" t="s">
        <v>18</v>
      </c>
      <c r="B240" s="258" t="s">
        <v>237</v>
      </c>
      <c r="C240" s="244" t="s">
        <v>272</v>
      </c>
      <c r="E240" s="508" t="s">
        <v>272</v>
      </c>
      <c r="F240" s="509" t="s">
        <v>18</v>
      </c>
      <c r="G240" s="476" t="s">
        <v>237</v>
      </c>
      <c r="H240" s="477" t="s">
        <v>1578</v>
      </c>
      <c r="I240" s="478" t="s">
        <v>1579</v>
      </c>
    </row>
    <row r="241" spans="1:9" ht="20.100000000000001" customHeight="1">
      <c r="A241" s="144" t="s">
        <v>19</v>
      </c>
      <c r="B241" s="81" t="s">
        <v>237</v>
      </c>
      <c r="C241" s="228" t="s">
        <v>272</v>
      </c>
      <c r="E241" s="510" t="s">
        <v>272</v>
      </c>
      <c r="F241" s="511" t="s">
        <v>19</v>
      </c>
      <c r="G241" s="491" t="s">
        <v>237</v>
      </c>
      <c r="H241" s="492" t="s">
        <v>1580</v>
      </c>
      <c r="I241" s="493" t="s">
        <v>1581</v>
      </c>
    </row>
    <row r="242" spans="1:9" ht="20.100000000000001" customHeight="1" thickBot="1">
      <c r="A242" s="250" t="s">
        <v>20</v>
      </c>
      <c r="B242" s="251" t="s">
        <v>237</v>
      </c>
      <c r="C242" s="252" t="s">
        <v>272</v>
      </c>
      <c r="E242" s="512" t="s">
        <v>272</v>
      </c>
      <c r="F242" s="514" t="s">
        <v>20</v>
      </c>
      <c r="G242" s="481" t="s">
        <v>237</v>
      </c>
      <c r="H242" s="482" t="s">
        <v>1582</v>
      </c>
      <c r="I242" s="483" t="s">
        <v>1583</v>
      </c>
    </row>
    <row r="243" spans="1:9" ht="20.100000000000001" customHeight="1">
      <c r="A243" s="253" t="s">
        <v>178</v>
      </c>
      <c r="B243" s="254" t="s">
        <v>104</v>
      </c>
      <c r="C243" s="255" t="s">
        <v>1114</v>
      </c>
      <c r="E243" s="508" t="s">
        <v>1114</v>
      </c>
      <c r="F243" s="509" t="s">
        <v>178</v>
      </c>
      <c r="G243" s="476" t="s">
        <v>104</v>
      </c>
      <c r="H243" s="477" t="s">
        <v>1584</v>
      </c>
      <c r="I243" s="478" t="s">
        <v>1585</v>
      </c>
    </row>
    <row r="244" spans="1:9" ht="20.100000000000001" customHeight="1">
      <c r="A244" s="229" t="s">
        <v>179</v>
      </c>
      <c r="B244" s="249" t="s">
        <v>104</v>
      </c>
      <c r="C244" s="247" t="s">
        <v>1114</v>
      </c>
      <c r="E244" s="510" t="s">
        <v>1114</v>
      </c>
      <c r="F244" s="511" t="s">
        <v>179</v>
      </c>
      <c r="G244" s="491" t="s">
        <v>104</v>
      </c>
      <c r="H244" s="492" t="s">
        <v>1586</v>
      </c>
      <c r="I244" s="493" t="s">
        <v>1587</v>
      </c>
    </row>
    <row r="245" spans="1:9" ht="20.100000000000001" customHeight="1">
      <c r="A245" s="229" t="s">
        <v>180</v>
      </c>
      <c r="B245" s="249" t="s">
        <v>104</v>
      </c>
      <c r="C245" s="247" t="s">
        <v>1114</v>
      </c>
      <c r="E245" s="510" t="s">
        <v>1114</v>
      </c>
      <c r="F245" s="511" t="s">
        <v>180</v>
      </c>
      <c r="G245" s="491" t="s">
        <v>104</v>
      </c>
      <c r="H245" s="492" t="s">
        <v>1588</v>
      </c>
      <c r="I245" s="493" t="s">
        <v>1589</v>
      </c>
    </row>
    <row r="246" spans="1:9" ht="20.100000000000001" customHeight="1" thickBot="1">
      <c r="A246" s="245" t="s">
        <v>181</v>
      </c>
      <c r="B246" s="248" t="s">
        <v>104</v>
      </c>
      <c r="C246" s="246" t="s">
        <v>1114</v>
      </c>
      <c r="E246" s="512" t="s">
        <v>1114</v>
      </c>
      <c r="F246" s="514" t="s">
        <v>181</v>
      </c>
      <c r="G246" s="515" t="s">
        <v>104</v>
      </c>
      <c r="H246" s="482" t="s">
        <v>1590</v>
      </c>
      <c r="I246" s="496" t="s">
        <v>1591</v>
      </c>
    </row>
    <row r="247" spans="1:9" ht="20.100000000000001" customHeight="1">
      <c r="A247" s="253" t="s">
        <v>99</v>
      </c>
      <c r="B247" s="254" t="s">
        <v>92</v>
      </c>
      <c r="C247" s="255" t="s">
        <v>1115</v>
      </c>
      <c r="E247" s="214" t="s">
        <v>1115</v>
      </c>
      <c r="F247" s="217" t="s">
        <v>99</v>
      </c>
      <c r="G247" s="304" t="s">
        <v>92</v>
      </c>
      <c r="H247" s="477" t="s">
        <v>1592</v>
      </c>
      <c r="I247" s="218" t="s">
        <v>1593</v>
      </c>
    </row>
    <row r="248" spans="1:9" ht="20.100000000000001" customHeight="1">
      <c r="A248" s="229" t="s">
        <v>100</v>
      </c>
      <c r="B248" s="249" t="s">
        <v>92</v>
      </c>
      <c r="C248" s="247" t="s">
        <v>1115</v>
      </c>
      <c r="E248" s="215" t="s">
        <v>1115</v>
      </c>
      <c r="F248" s="219" t="s">
        <v>100</v>
      </c>
      <c r="G248" s="305" t="s">
        <v>92</v>
      </c>
      <c r="H248" s="492" t="s">
        <v>1594</v>
      </c>
      <c r="I248" s="220" t="s">
        <v>1595</v>
      </c>
    </row>
    <row r="249" spans="1:9" ht="20.100000000000001" customHeight="1">
      <c r="A249" s="229" t="s">
        <v>101</v>
      </c>
      <c r="B249" s="249" t="s">
        <v>92</v>
      </c>
      <c r="C249" s="247" t="s">
        <v>1115</v>
      </c>
      <c r="E249" s="215" t="s">
        <v>1115</v>
      </c>
      <c r="F249" s="219" t="s">
        <v>101</v>
      </c>
      <c r="G249" s="305" t="s">
        <v>92</v>
      </c>
      <c r="H249" s="492" t="s">
        <v>1596</v>
      </c>
      <c r="I249" s="220" t="s">
        <v>1597</v>
      </c>
    </row>
    <row r="250" spans="1:9" ht="20.100000000000001" customHeight="1" thickBot="1">
      <c r="A250" s="229" t="s">
        <v>102</v>
      </c>
      <c r="B250" s="249" t="s">
        <v>92</v>
      </c>
      <c r="C250" s="247" t="s">
        <v>1115</v>
      </c>
      <c r="E250" s="215" t="s">
        <v>1115</v>
      </c>
      <c r="F250" s="219" t="s">
        <v>102</v>
      </c>
      <c r="G250" s="305" t="s">
        <v>92</v>
      </c>
      <c r="H250" s="492" t="s">
        <v>1598</v>
      </c>
      <c r="I250" s="220" t="s">
        <v>1599</v>
      </c>
    </row>
    <row r="251" spans="1:9" ht="20.100000000000001" customHeight="1">
      <c r="A251" s="265" t="s">
        <v>839</v>
      </c>
      <c r="B251" s="267" t="s">
        <v>22</v>
      </c>
      <c r="C251" s="266" t="s">
        <v>838</v>
      </c>
      <c r="E251" s="214" t="s">
        <v>838</v>
      </c>
      <c r="F251" s="217" t="s">
        <v>839</v>
      </c>
      <c r="G251" s="304" t="s">
        <v>22</v>
      </c>
      <c r="H251" s="477" t="s">
        <v>1600</v>
      </c>
      <c r="I251" s="218">
        <v>50801</v>
      </c>
    </row>
    <row r="252" spans="1:9" ht="20.100000000000001" customHeight="1" thickBot="1">
      <c r="A252" s="263" t="s">
        <v>840</v>
      </c>
      <c r="B252" s="268" t="s">
        <v>22</v>
      </c>
      <c r="C252" s="264" t="s">
        <v>838</v>
      </c>
      <c r="E252" s="215" t="s">
        <v>838</v>
      </c>
      <c r="F252" s="219" t="s">
        <v>840</v>
      </c>
      <c r="G252" s="305" t="s">
        <v>22</v>
      </c>
      <c r="H252" s="492" t="s">
        <v>1601</v>
      </c>
      <c r="I252" s="220">
        <v>50802</v>
      </c>
    </row>
    <row r="253" spans="1:9" ht="20.100000000000001" customHeight="1">
      <c r="A253" s="265" t="s">
        <v>842</v>
      </c>
      <c r="B253" s="267" t="s">
        <v>22</v>
      </c>
      <c r="C253" s="266" t="s">
        <v>841</v>
      </c>
      <c r="E253" s="215" t="s">
        <v>841</v>
      </c>
      <c r="F253" s="219" t="s">
        <v>842</v>
      </c>
      <c r="G253" s="305" t="s">
        <v>22</v>
      </c>
      <c r="H253" s="492" t="s">
        <v>1602</v>
      </c>
      <c r="I253" s="220">
        <v>50803</v>
      </c>
    </row>
    <row r="254" spans="1:9" ht="20.100000000000001" customHeight="1" thickBot="1">
      <c r="A254" s="263" t="s">
        <v>843</v>
      </c>
      <c r="B254" s="268" t="s">
        <v>22</v>
      </c>
      <c r="C254" s="264" t="s">
        <v>841</v>
      </c>
      <c r="E254" s="216" t="s">
        <v>841</v>
      </c>
      <c r="F254" s="221" t="s">
        <v>843</v>
      </c>
      <c r="G254" s="306" t="s">
        <v>22</v>
      </c>
      <c r="H254" s="482" t="s">
        <v>1603</v>
      </c>
      <c r="I254" s="222">
        <v>50804</v>
      </c>
    </row>
    <row r="255" spans="1:9" ht="20.100000000000001" customHeight="1" thickBot="1">
      <c r="A255" s="235" t="s">
        <v>1032</v>
      </c>
      <c r="B255" s="262" t="s">
        <v>9</v>
      </c>
      <c r="C255" s="236" t="s">
        <v>1032</v>
      </c>
      <c r="E255" s="484" t="s">
        <v>1032</v>
      </c>
      <c r="F255" s="485" t="s">
        <v>1032</v>
      </c>
      <c r="G255" s="486" t="s">
        <v>9</v>
      </c>
      <c r="H255" s="487" t="s">
        <v>1604</v>
      </c>
      <c r="I255" s="488">
        <v>50805</v>
      </c>
    </row>
  </sheetData>
  <autoFilter ref="A2:P254" xr:uid="{8178D564-5860-42EF-AD58-0B6447FB5B52}"/>
  <phoneticPr fontId="1" type="noConversion"/>
  <pageMargins left="0.70866141732283472" right="0.70866141732283472" top="0.74803149606299213" bottom="0.74803149606299213" header="0.31496062992125984" footer="0.31496062992125984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17</vt:i4>
      </vt:variant>
    </vt:vector>
  </HeadingPairs>
  <TitlesOfParts>
    <vt:vector size="28" baseType="lpstr">
      <vt:lpstr>1. 표지 (상임위)</vt:lpstr>
      <vt:lpstr>1. 총괄표(상임위)</vt:lpstr>
      <vt:lpstr>3. 일입</vt:lpstr>
      <vt:lpstr>3. 일출(자체)</vt:lpstr>
      <vt:lpstr>3. 일출(의존)</vt:lpstr>
      <vt:lpstr>4. 특입</vt:lpstr>
      <vt:lpstr>4. 특출</vt:lpstr>
      <vt:lpstr>4-1. 공특입</vt:lpstr>
      <vt:lpstr>4-1. 공특출</vt:lpstr>
      <vt:lpstr>7. 검증</vt:lpstr>
      <vt:lpstr>구분표</vt:lpstr>
      <vt:lpstr>'1. 총괄표(상임위)'!Print_Area</vt:lpstr>
      <vt:lpstr>'1. 표지 (상임위)'!Print_Area</vt:lpstr>
      <vt:lpstr>'3. 일입'!Print_Area</vt:lpstr>
      <vt:lpstr>'3. 일출(의존)'!Print_Area</vt:lpstr>
      <vt:lpstr>'3. 일출(자체)'!Print_Area</vt:lpstr>
      <vt:lpstr>'4. 특입'!Print_Area</vt:lpstr>
      <vt:lpstr>'4. 특출'!Print_Area</vt:lpstr>
      <vt:lpstr>'4-1. 공특입'!Print_Area</vt:lpstr>
      <vt:lpstr>'4-1. 공특출'!Print_Area</vt:lpstr>
      <vt:lpstr>'7. 검증'!Print_Area</vt:lpstr>
      <vt:lpstr>'3. 일입'!Print_Titles</vt:lpstr>
      <vt:lpstr>'3. 일출(의존)'!Print_Titles</vt:lpstr>
      <vt:lpstr>'3. 일출(자체)'!Print_Titles</vt:lpstr>
      <vt:lpstr>'4. 특입'!Print_Titles</vt:lpstr>
      <vt:lpstr>'4. 특출'!Print_Titles</vt:lpstr>
      <vt:lpstr>'4-1. 공특입'!Print_Titles</vt:lpstr>
      <vt:lpstr>'4-1. 공특출'!Print_Titles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2026-09-07T05:57:38Z</cp:lastPrinted>
  <dcterms:created xsi:type="dcterms:W3CDTF">2015-06-26T00:14:49Z</dcterms:created>
  <dcterms:modified xsi:type="dcterms:W3CDTF">2026-09-07T05:59:59Z</dcterms:modified>
</cp:coreProperties>
</file>