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2.예산\2026\2회 추경\4. 농정위 계수조정안\"/>
    </mc:Choice>
  </mc:AlternateContent>
  <xr:revisionPtr revIDLastSave="0" documentId="13_ncr:1_{6286FCA4-473D-4E31-BE9B-33DCA05D98B3}" xr6:coauthVersionLast="47" xr6:coauthVersionMax="47" xr10:uidLastSave="{00000000-0000-0000-0000-000000000000}"/>
  <bookViews>
    <workbookView xWindow="-120" yWindow="-120" windowWidth="29040" windowHeight="15720" tabRatio="854" xr2:uid="{00000000-000D-0000-FFFF-FFFF00000000}"/>
  </bookViews>
  <sheets>
    <sheet name="1. 표지 (상임위)" sheetId="44" r:id="rId1"/>
    <sheet name="1. 총괄표(상임위)" sheetId="39" r:id="rId2"/>
    <sheet name="3. 일입" sheetId="13" r:id="rId3"/>
    <sheet name="3. 일출(자체)" sheetId="15" r:id="rId4"/>
    <sheet name="3. 일출(의존)" sheetId="30" r:id="rId5"/>
    <sheet name="4. 특입" sheetId="31" state="hidden" r:id="rId6"/>
    <sheet name="4. 특출" sheetId="32" state="hidden" r:id="rId7"/>
    <sheet name="4-1. 공특입" sheetId="46" state="hidden" r:id="rId8"/>
    <sheet name="4-1. 공특출" sheetId="47" state="hidden" r:id="rId9"/>
    <sheet name="5. 기입" sheetId="33" state="hidden" r:id="rId10"/>
    <sheet name="5. 기출" sheetId="34" state="hidden" r:id="rId11"/>
    <sheet name="6. 계속비사업조서" sheetId="52" state="hidden" r:id="rId12"/>
    <sheet name="7. 검증" sheetId="3" r:id="rId13"/>
    <sheet name="구분표" sheetId="1" r:id="rId14"/>
  </sheets>
  <externalReferences>
    <externalReference r:id="rId15"/>
  </externalReferences>
  <definedNames>
    <definedName name="_xlnm._FilterDatabase" localSheetId="2" hidden="1">'3. 일입'!$A$7:$BE$15</definedName>
    <definedName name="_xlnm._FilterDatabase" localSheetId="4" hidden="1">'3. 일출(의존)'!$A$6:$AY$19</definedName>
    <definedName name="_xlnm._FilterDatabase" localSheetId="3" hidden="1">'3. 일출(자체)'!$A$6:$AS$27</definedName>
    <definedName name="_xlnm._FilterDatabase" localSheetId="5" hidden="1">'4. 특입'!$A$6:$AQ$51</definedName>
    <definedName name="_xlnm._FilterDatabase" localSheetId="6" hidden="1">'4. 특출'!$A$5:$AQ$50</definedName>
    <definedName name="_xlnm._FilterDatabase" localSheetId="7" hidden="1">'4-1. 공특입'!$A$6:$Z$16</definedName>
    <definedName name="_xlnm._FilterDatabase" localSheetId="8" hidden="1">'4-1. 공특출'!$A$5:$AB$15</definedName>
    <definedName name="_xlnm._FilterDatabase" localSheetId="9" hidden="1">'5. 기입'!$A$6:$AS$126</definedName>
    <definedName name="_xlnm._FilterDatabase" localSheetId="10" hidden="1">'5. 기출'!$A$6:$AN$126</definedName>
    <definedName name="_xlnm._FilterDatabase" localSheetId="13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2">'3. 일입'!$A$1:$BE$15</definedName>
    <definedName name="_xlnm.Print_Area" localSheetId="4">'3. 일출(의존)'!$A$1:$AX$19</definedName>
    <definedName name="_xlnm.Print_Area" localSheetId="3">'3. 일출(자체)'!$A$1:$AS$27</definedName>
    <definedName name="_xlnm.Print_Area" localSheetId="5">'4. 특입'!$A$1:$AQ$52</definedName>
    <definedName name="_xlnm.Print_Area" localSheetId="6">'4. 특출'!$A$1:$AQ$51</definedName>
    <definedName name="_xlnm.Print_Area" localSheetId="7">'4-1. 공특입'!$A$1:$Z$16</definedName>
    <definedName name="_xlnm.Print_Area" localSheetId="8">'4-1. 공특출'!$A$1:$AA$15</definedName>
    <definedName name="_xlnm.Print_Area" localSheetId="9">'5. 기입'!$A$1:$AS$126</definedName>
    <definedName name="_xlnm.Print_Area" localSheetId="10">'5. 기출'!$A$1:$AN$126</definedName>
    <definedName name="_xlnm.Print_Area" localSheetId="11">'6. 계속비사업조서'!$A$1:$M$456</definedName>
    <definedName name="_xlnm.Print_Area" localSheetId="12">'7. 검증'!$A$1:$M$15</definedName>
    <definedName name="_xlnm.Print_Titles" localSheetId="2">'3. 일입'!$3:$6</definedName>
    <definedName name="_xlnm.Print_Titles" localSheetId="4">'3. 일출(의존)'!$2:$5</definedName>
    <definedName name="_xlnm.Print_Titles" localSheetId="3">'3. 일출(자체)'!$2:$5</definedName>
    <definedName name="_xlnm.Print_Titles" localSheetId="5">'4. 특입'!$4:$5</definedName>
    <definedName name="_xlnm.Print_Titles" localSheetId="6">'4. 특출'!$2:$4</definedName>
    <definedName name="_xlnm.Print_Titles" localSheetId="7">'4-1. 공특입'!$4:$5</definedName>
    <definedName name="_xlnm.Print_Titles" localSheetId="8">'4-1. 공특출'!$2:$4</definedName>
    <definedName name="_xlnm.Print_Titles" localSheetId="9">'5. 기입'!$4:$5</definedName>
    <definedName name="_xlnm.Print_Titles" localSheetId="10">'5. 기출'!$3:$5</definedName>
    <definedName name="_xlnm.Print_Titles" localSheetId="11">'6. 계속비사업조서'!$3:$4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9" i="15" l="1"/>
  <c r="S20" i="15"/>
  <c r="S21" i="15"/>
  <c r="S22" i="15"/>
  <c r="S23" i="15"/>
  <c r="S24" i="15"/>
  <c r="S25" i="15"/>
  <c r="S26" i="15"/>
  <c r="S27" i="15"/>
  <c r="AO11" i="15"/>
  <c r="AP11" i="15" s="1"/>
  <c r="AN11" i="15"/>
  <c r="AJ11" i="15"/>
  <c r="AI11" i="15"/>
  <c r="AH11" i="15"/>
  <c r="AE11" i="15"/>
  <c r="AD11" i="15"/>
  <c r="O11" i="15"/>
  <c r="S11" i="15" s="1"/>
  <c r="I11" i="15"/>
  <c r="J11" i="15" s="1"/>
  <c r="C11" i="15"/>
  <c r="AK11" i="15" l="1"/>
  <c r="AC11" i="15"/>
  <c r="B11" i="15"/>
  <c r="AR11" i="15" s="1" a="1"/>
  <c r="AR11" i="15" s="1"/>
  <c r="Q11" i="15"/>
  <c r="T11" i="15" s="1"/>
  <c r="P7" i="30"/>
  <c r="AF11" i="15" l="1"/>
  <c r="G19" i="30" l="1"/>
  <c r="F19" i="30"/>
  <c r="G18" i="30"/>
  <c r="F18" i="30"/>
  <c r="C19" i="30" l="1"/>
  <c r="B19" i="30" s="1"/>
  <c r="I19" i="30"/>
  <c r="J19" i="30" s="1"/>
  <c r="N19" i="30"/>
  <c r="O19" i="30" s="1"/>
  <c r="AD19" i="30"/>
  <c r="AC19" i="30" s="1"/>
  <c r="AE19" i="30"/>
  <c r="AH19" i="30"/>
  <c r="AI19" i="30"/>
  <c r="AJ19" i="30"/>
  <c r="AK19" i="30"/>
  <c r="AP19" i="30"/>
  <c r="AQ19" i="30" s="1"/>
  <c r="AT19" i="30"/>
  <c r="AU19" i="30"/>
  <c r="AV19" i="30" s="1"/>
  <c r="I21" i="15"/>
  <c r="J21" i="15" s="1"/>
  <c r="I22" i="15"/>
  <c r="J22" i="15" s="1"/>
  <c r="I23" i="15"/>
  <c r="J23" i="15" s="1"/>
  <c r="I24" i="15"/>
  <c r="J24" i="15" s="1"/>
  <c r="I25" i="15"/>
  <c r="J25" i="15" s="1"/>
  <c r="I26" i="15"/>
  <c r="J26" i="15" s="1"/>
  <c r="I27" i="15"/>
  <c r="J27" i="15" s="1"/>
  <c r="G15" i="30"/>
  <c r="F15" i="30"/>
  <c r="G14" i="30"/>
  <c r="F14" i="30"/>
  <c r="G13" i="13"/>
  <c r="F13" i="13"/>
  <c r="AO19" i="30" l="1"/>
  <c r="AL19" i="30"/>
  <c r="S19" i="30"/>
  <c r="Q19" i="30"/>
  <c r="AF19" i="30" s="1"/>
  <c r="AD19" i="15"/>
  <c r="AE19" i="15"/>
  <c r="AH19" i="15"/>
  <c r="AI19" i="15"/>
  <c r="AJ19" i="15"/>
  <c r="AN19" i="15"/>
  <c r="AO19" i="15"/>
  <c r="AP19" i="15" s="1"/>
  <c r="AD20" i="15"/>
  <c r="AC20" i="15" s="1"/>
  <c r="AE20" i="15"/>
  <c r="AH20" i="15"/>
  <c r="AI20" i="15"/>
  <c r="AJ20" i="15"/>
  <c r="AN20" i="15"/>
  <c r="AO20" i="15"/>
  <c r="AP20" i="15" s="1"/>
  <c r="AD21" i="15"/>
  <c r="AE21" i="15"/>
  <c r="AH21" i="15"/>
  <c r="AI21" i="15"/>
  <c r="AJ21" i="15"/>
  <c r="AN21" i="15"/>
  <c r="AO21" i="15"/>
  <c r="AP21" i="15" s="1"/>
  <c r="AD22" i="15"/>
  <c r="AE22" i="15"/>
  <c r="AH22" i="15"/>
  <c r="AI22" i="15"/>
  <c r="AJ22" i="15"/>
  <c r="AN22" i="15"/>
  <c r="AO22" i="15"/>
  <c r="AP22" i="15" s="1"/>
  <c r="AD23" i="15"/>
  <c r="AE23" i="15"/>
  <c r="AC23" i="15" s="1"/>
  <c r="AH23" i="15"/>
  <c r="AI23" i="15"/>
  <c r="AJ23" i="15"/>
  <c r="AN23" i="15"/>
  <c r="AO23" i="15"/>
  <c r="AP23" i="15" s="1"/>
  <c r="AD24" i="15"/>
  <c r="AE24" i="15"/>
  <c r="AH24" i="15"/>
  <c r="AI24" i="15"/>
  <c r="AJ24" i="15"/>
  <c r="AN24" i="15"/>
  <c r="AO24" i="15"/>
  <c r="AP24" i="15" s="1"/>
  <c r="AD25" i="15"/>
  <c r="AE25" i="15"/>
  <c r="AH25" i="15"/>
  <c r="AI25" i="15"/>
  <c r="AJ25" i="15"/>
  <c r="AN25" i="15"/>
  <c r="AO25" i="15"/>
  <c r="AP25" i="15" s="1"/>
  <c r="AD26" i="15"/>
  <c r="AE26" i="15"/>
  <c r="AH26" i="15"/>
  <c r="AI26" i="15"/>
  <c r="AJ26" i="15"/>
  <c r="AN26" i="15"/>
  <c r="AO26" i="15"/>
  <c r="AP26" i="15" s="1"/>
  <c r="AD27" i="15"/>
  <c r="AE27" i="15"/>
  <c r="AH27" i="15"/>
  <c r="AI27" i="15"/>
  <c r="AJ27" i="15"/>
  <c r="AN27" i="15"/>
  <c r="AO27" i="15"/>
  <c r="AP27" i="15" s="1"/>
  <c r="O19" i="15"/>
  <c r="Q19" i="15" s="1"/>
  <c r="T19" i="15" s="1"/>
  <c r="O20" i="15"/>
  <c r="Q20" i="15" s="1"/>
  <c r="T20" i="15" s="1"/>
  <c r="O21" i="15"/>
  <c r="Q21" i="15" s="1"/>
  <c r="T21" i="15" s="1"/>
  <c r="O22" i="15"/>
  <c r="Q22" i="15" s="1"/>
  <c r="T22" i="15" s="1"/>
  <c r="O23" i="15"/>
  <c r="Q23" i="15" s="1"/>
  <c r="T23" i="15" s="1"/>
  <c r="O24" i="15"/>
  <c r="Q24" i="15" s="1"/>
  <c r="T24" i="15" s="1"/>
  <c r="O25" i="15"/>
  <c r="Q25" i="15" s="1"/>
  <c r="T25" i="15" s="1"/>
  <c r="O26" i="15"/>
  <c r="Q26" i="15" s="1"/>
  <c r="T26" i="15" s="1"/>
  <c r="O27" i="15"/>
  <c r="Q27" i="15" s="1"/>
  <c r="T27" i="15" s="1"/>
  <c r="I19" i="15"/>
  <c r="J19" i="15" s="1"/>
  <c r="I20" i="15"/>
  <c r="J20" i="15" s="1"/>
  <c r="C19" i="15"/>
  <c r="C20" i="15"/>
  <c r="C21" i="15"/>
  <c r="C22" i="15"/>
  <c r="B22" i="15" s="1"/>
  <c r="C23" i="15"/>
  <c r="B23" i="15" s="1"/>
  <c r="AR23" i="15" s="1" a="1"/>
  <c r="AR23" i="15" s="1"/>
  <c r="C24" i="15"/>
  <c r="C25" i="15"/>
  <c r="B25" i="15" s="1"/>
  <c r="C26" i="15"/>
  <c r="B26" i="15" s="1"/>
  <c r="C27" i="15"/>
  <c r="I17" i="15"/>
  <c r="J17" i="15" s="1"/>
  <c r="F17" i="15"/>
  <c r="G17" i="15"/>
  <c r="AD17" i="15"/>
  <c r="AE17" i="15"/>
  <c r="AH17" i="15"/>
  <c r="AI17" i="15"/>
  <c r="AJ17" i="15"/>
  <c r="AN17" i="15"/>
  <c r="AO17" i="15"/>
  <c r="AP17" i="15" s="1"/>
  <c r="O17" i="15"/>
  <c r="S17" i="15" s="1"/>
  <c r="O18" i="15"/>
  <c r="Q18" i="15" s="1"/>
  <c r="C17" i="15"/>
  <c r="AC22" i="15" l="1"/>
  <c r="AF22" i="15"/>
  <c r="AC24" i="15"/>
  <c r="AF24" i="15" s="1"/>
  <c r="AC21" i="15"/>
  <c r="AK26" i="15"/>
  <c r="AC19" i="15"/>
  <c r="AF19" i="15" s="1"/>
  <c r="AC27" i="15"/>
  <c r="AF27" i="15" s="1"/>
  <c r="AC26" i="15"/>
  <c r="AF26" i="15" s="1"/>
  <c r="AR26" i="15" a="1"/>
  <c r="AR26" i="15" s="1"/>
  <c r="AK23" i="15"/>
  <c r="AC25" i="15"/>
  <c r="AF25" i="15" s="1"/>
  <c r="AK25" i="15"/>
  <c r="AK27" i="15"/>
  <c r="AR25" i="15" a="1"/>
  <c r="AR25" i="15" s="1"/>
  <c r="B27" i="15"/>
  <c r="AR27" i="15" s="1" a="1"/>
  <c r="AR27" i="15" s="1"/>
  <c r="T19" i="30"/>
  <c r="AK24" i="15"/>
  <c r="B24" i="15"/>
  <c r="AR24" i="15" s="1" a="1"/>
  <c r="AR24" i="15" s="1"/>
  <c r="AR22" i="15" a="1"/>
  <c r="AR22" i="15" s="1"/>
  <c r="AK22" i="15"/>
  <c r="AF23" i="15"/>
  <c r="B21" i="15"/>
  <c r="AR21" i="15" s="1" a="1"/>
  <c r="AR21" i="15" s="1"/>
  <c r="B20" i="15"/>
  <c r="AR20" i="15" s="1" a="1"/>
  <c r="AR20" i="15" s="1"/>
  <c r="B19" i="15"/>
  <c r="AR19" i="15" s="1" a="1"/>
  <c r="AR19" i="15" s="1"/>
  <c r="AK20" i="15"/>
  <c r="AK19" i="15"/>
  <c r="AK21" i="15"/>
  <c r="AF21" i="15"/>
  <c r="AF20" i="15"/>
  <c r="AK17" i="15"/>
  <c r="AC17" i="15"/>
  <c r="Q17" i="15"/>
  <c r="T17" i="15" s="1"/>
  <c r="B17" i="15"/>
  <c r="AR17" i="15" s="1" a="1"/>
  <c r="AR17" i="15" s="1"/>
  <c r="O9" i="15"/>
  <c r="S9" i="15" s="1"/>
  <c r="C9" i="15"/>
  <c r="I9" i="15"/>
  <c r="J9" i="15" s="1"/>
  <c r="AD9" i="15"/>
  <c r="AE9" i="15"/>
  <c r="AH9" i="15"/>
  <c r="AI9" i="15"/>
  <c r="AJ9" i="15"/>
  <c r="AN9" i="15"/>
  <c r="AO9" i="15"/>
  <c r="AP9" i="15" s="1"/>
  <c r="C10" i="15"/>
  <c r="B10" i="15" s="1"/>
  <c r="AR10" i="15" s="1" a="1"/>
  <c r="AR10" i="15" s="1"/>
  <c r="I10" i="15"/>
  <c r="J10" i="15" s="1"/>
  <c r="O10" i="15"/>
  <c r="Q10" i="15" s="1"/>
  <c r="AD10" i="15"/>
  <c r="AE10" i="15"/>
  <c r="AH10" i="15"/>
  <c r="AI10" i="15"/>
  <c r="AJ10" i="15"/>
  <c r="AN10" i="15"/>
  <c r="AO10" i="15"/>
  <c r="AP10" i="15" s="1"/>
  <c r="C12" i="15"/>
  <c r="B12" i="15" s="1"/>
  <c r="AR12" i="15" s="1" a="1"/>
  <c r="AR12" i="15" s="1"/>
  <c r="I12" i="15"/>
  <c r="J12" i="15" s="1"/>
  <c r="O12" i="15"/>
  <c r="S12" i="15" s="1"/>
  <c r="AD12" i="15"/>
  <c r="AE12" i="15"/>
  <c r="AH12" i="15"/>
  <c r="AI12" i="15"/>
  <c r="AJ12" i="15"/>
  <c r="AN12" i="15"/>
  <c r="AO12" i="15"/>
  <c r="AP12" i="15" s="1"/>
  <c r="C13" i="15"/>
  <c r="B13" i="15" s="1"/>
  <c r="AR13" i="15" s="1" a="1"/>
  <c r="AR13" i="15" s="1"/>
  <c r="I13" i="15"/>
  <c r="J13" i="15" s="1"/>
  <c r="O13" i="15"/>
  <c r="AD13" i="15"/>
  <c r="AE13" i="15"/>
  <c r="AH13" i="15"/>
  <c r="AI13" i="15"/>
  <c r="AJ13" i="15"/>
  <c r="AN13" i="15"/>
  <c r="AO13" i="15"/>
  <c r="AP13" i="15" s="1"/>
  <c r="C14" i="15"/>
  <c r="B14" i="15" s="1"/>
  <c r="I14" i="15"/>
  <c r="J14" i="15" s="1"/>
  <c r="O14" i="15"/>
  <c r="S14" i="15" s="1"/>
  <c r="AD14" i="15"/>
  <c r="AE14" i="15"/>
  <c r="AH14" i="15"/>
  <c r="AI14" i="15"/>
  <c r="AJ14" i="15"/>
  <c r="AN14" i="15"/>
  <c r="AO14" i="15"/>
  <c r="AP14" i="15" s="1"/>
  <c r="C15" i="15"/>
  <c r="I15" i="15"/>
  <c r="J15" i="15" s="1"/>
  <c r="O15" i="15"/>
  <c r="Q15" i="15" s="1"/>
  <c r="AD15" i="15"/>
  <c r="AE15" i="15"/>
  <c r="AH15" i="15"/>
  <c r="AI15" i="15"/>
  <c r="AJ15" i="15"/>
  <c r="AN15" i="15"/>
  <c r="AO15" i="15"/>
  <c r="AP15" i="15" s="1"/>
  <c r="C16" i="15"/>
  <c r="B16" i="15" s="1"/>
  <c r="I16" i="15"/>
  <c r="J16" i="15" s="1"/>
  <c r="O16" i="15"/>
  <c r="Q16" i="15" s="1"/>
  <c r="AD16" i="15"/>
  <c r="AE16" i="15"/>
  <c r="AH16" i="15"/>
  <c r="AI16" i="15"/>
  <c r="AJ16" i="15"/>
  <c r="AN16" i="15"/>
  <c r="AO16" i="15"/>
  <c r="AP16" i="15" s="1"/>
  <c r="C18" i="15"/>
  <c r="B18" i="15" s="1"/>
  <c r="AR18" i="15" s="1" a="1"/>
  <c r="AR18" i="15" s="1"/>
  <c r="I18" i="15"/>
  <c r="J18" i="15" s="1"/>
  <c r="S18" i="15"/>
  <c r="AD18" i="15"/>
  <c r="AE18" i="15"/>
  <c r="AH18" i="15"/>
  <c r="AI18" i="15"/>
  <c r="AJ18" i="15"/>
  <c r="AN18" i="15"/>
  <c r="AO18" i="15"/>
  <c r="AP18" i="15" s="1"/>
  <c r="AO8" i="15"/>
  <c r="AP8" i="15" s="1"/>
  <c r="AN8" i="15"/>
  <c r="AJ8" i="15"/>
  <c r="AI8" i="15"/>
  <c r="AH8" i="15"/>
  <c r="AE8" i="15"/>
  <c r="AD8" i="15"/>
  <c r="O8" i="15"/>
  <c r="S8" i="15" s="1"/>
  <c r="I8" i="15"/>
  <c r="J8" i="15" s="1"/>
  <c r="C8" i="15"/>
  <c r="A20" i="15" l="1"/>
  <c r="A11" i="15"/>
  <c r="Q14" i="15"/>
  <c r="A19" i="15"/>
  <c r="A26" i="15"/>
  <c r="A22" i="15"/>
  <c r="A23" i="15"/>
  <c r="A27" i="15"/>
  <c r="A21" i="15"/>
  <c r="A24" i="15"/>
  <c r="A25" i="15"/>
  <c r="T14" i="15"/>
  <c r="AC15" i="15"/>
  <c r="AC14" i="15"/>
  <c r="AF14" i="15" s="1"/>
  <c r="AF17" i="15"/>
  <c r="S16" i="15"/>
  <c r="T16" i="15" s="1"/>
  <c r="AC10" i="15"/>
  <c r="AF10" i="15" s="1"/>
  <c r="AC18" i="15"/>
  <c r="AF18" i="15" s="1"/>
  <c r="A18" i="15"/>
  <c r="A17" i="15"/>
  <c r="AK18" i="15"/>
  <c r="AK9" i="15"/>
  <c r="AC16" i="15"/>
  <c r="AF16" i="15" s="1"/>
  <c r="Q12" i="15"/>
  <c r="T12" i="15" s="1"/>
  <c r="A12" i="15"/>
  <c r="AC13" i="15"/>
  <c r="A10" i="15"/>
  <c r="AC12" i="15"/>
  <c r="AC9" i="15"/>
  <c r="AK15" i="15"/>
  <c r="S15" i="15"/>
  <c r="T15" i="15" s="1"/>
  <c r="Q13" i="15"/>
  <c r="S13" i="15"/>
  <c r="AR14" i="15" a="1"/>
  <c r="AR14" i="15" s="1"/>
  <c r="AR16" i="15" a="1"/>
  <c r="AR16" i="15" s="1"/>
  <c r="A16" i="15"/>
  <c r="B15" i="15"/>
  <c r="AR15" i="15" s="1" a="1"/>
  <c r="AR15" i="15" s="1"/>
  <c r="A14" i="15"/>
  <c r="A15" i="15"/>
  <c r="S10" i="15"/>
  <c r="T10" i="15" s="1"/>
  <c r="Q9" i="15"/>
  <c r="T9" i="15" s="1"/>
  <c r="AF15" i="15"/>
  <c r="AK16" i="15"/>
  <c r="AK12" i="15"/>
  <c r="AK13" i="15"/>
  <c r="AK14" i="15"/>
  <c r="AK10" i="15"/>
  <c r="B9" i="15"/>
  <c r="AR9" i="15" s="1" a="1"/>
  <c r="AR9" i="15" s="1"/>
  <c r="A13" i="15"/>
  <c r="A9" i="15"/>
  <c r="AC8" i="15"/>
  <c r="A8" i="15"/>
  <c r="B8" i="15"/>
  <c r="AR8" i="15" s="1" a="1"/>
  <c r="AR8" i="15" s="1"/>
  <c r="AK8" i="15"/>
  <c r="T18" i="15"/>
  <c r="Q8" i="15"/>
  <c r="T8" i="15" s="1"/>
  <c r="C5" i="52"/>
  <c r="D5" i="52"/>
  <c r="F5" i="52"/>
  <c r="E5" i="52" s="1"/>
  <c r="G5" i="52"/>
  <c r="H5" i="52"/>
  <c r="H13" i="52" s="1"/>
  <c r="I5" i="52"/>
  <c r="I13" i="52" s="1"/>
  <c r="J5" i="52"/>
  <c r="K5" i="52"/>
  <c r="K13" i="52" s="1"/>
  <c r="L5" i="52"/>
  <c r="I6" i="52"/>
  <c r="I7" i="52"/>
  <c r="I8" i="52"/>
  <c r="D9" i="52"/>
  <c r="D13" i="52" s="1"/>
  <c r="E9" i="52"/>
  <c r="E13" i="52" s="1"/>
  <c r="J9" i="52"/>
  <c r="K9" i="52"/>
  <c r="C10" i="52"/>
  <c r="C9" i="52" s="1"/>
  <c r="F10" i="52"/>
  <c r="F9" i="52" s="1"/>
  <c r="F13" i="52" s="1"/>
  <c r="C11" i="52"/>
  <c r="F11" i="52"/>
  <c r="C12" i="52"/>
  <c r="F12" i="52"/>
  <c r="G13" i="52"/>
  <c r="L14" i="52"/>
  <c r="D18" i="52"/>
  <c r="D22" i="52" s="1"/>
  <c r="E18" i="52"/>
  <c r="F18" i="52"/>
  <c r="G18" i="52"/>
  <c r="H18" i="52"/>
  <c r="J18" i="52"/>
  <c r="J22" i="52" s="1"/>
  <c r="K18" i="52"/>
  <c r="K22" i="52" s="1"/>
  <c r="L18" i="52"/>
  <c r="C19" i="52"/>
  <c r="I19" i="52"/>
  <c r="C20" i="52"/>
  <c r="I20" i="52"/>
  <c r="C21" i="52"/>
  <c r="I21" i="52"/>
  <c r="E22" i="52"/>
  <c r="F22" i="52"/>
  <c r="G22" i="52"/>
  <c r="H22" i="52"/>
  <c r="D27" i="52"/>
  <c r="E27" i="52"/>
  <c r="F27" i="52"/>
  <c r="G27" i="52"/>
  <c r="H27" i="52"/>
  <c r="H31" i="52" s="1"/>
  <c r="K27" i="52"/>
  <c r="K31" i="52" s="1"/>
  <c r="I28" i="52"/>
  <c r="J28" i="52"/>
  <c r="J27" i="52" s="1"/>
  <c r="J31" i="52" s="1"/>
  <c r="L28" i="52"/>
  <c r="L27" i="52" s="1"/>
  <c r="L31" i="52" s="1"/>
  <c r="C29" i="52"/>
  <c r="I29" i="52"/>
  <c r="C30" i="52"/>
  <c r="I30" i="52"/>
  <c r="D31" i="52"/>
  <c r="E31" i="52"/>
  <c r="F31" i="52"/>
  <c r="G31" i="52"/>
  <c r="D36" i="52"/>
  <c r="E36" i="52"/>
  <c r="E40" i="52" s="1"/>
  <c r="F36" i="52"/>
  <c r="G36" i="52"/>
  <c r="G40" i="52" s="1"/>
  <c r="H36" i="52"/>
  <c r="H40" i="52" s="1"/>
  <c r="J36" i="52"/>
  <c r="K36" i="52"/>
  <c r="L36" i="52"/>
  <c r="L40" i="52" s="1"/>
  <c r="C37" i="52"/>
  <c r="I37" i="52"/>
  <c r="I36" i="52" s="1"/>
  <c r="I40" i="52" s="1"/>
  <c r="C38" i="52"/>
  <c r="I38" i="52"/>
  <c r="C39" i="52"/>
  <c r="I39" i="52"/>
  <c r="D40" i="52"/>
  <c r="F40" i="52"/>
  <c r="J40" i="52"/>
  <c r="K40" i="52"/>
  <c r="D45" i="52"/>
  <c r="E45" i="52"/>
  <c r="E49" i="52" s="1"/>
  <c r="F45" i="52"/>
  <c r="F49" i="52" s="1"/>
  <c r="G45" i="52"/>
  <c r="G49" i="52" s="1"/>
  <c r="H45" i="52"/>
  <c r="H49" i="52" s="1"/>
  <c r="J45" i="52"/>
  <c r="J49" i="52" s="1"/>
  <c r="K45" i="52"/>
  <c r="K49" i="52" s="1"/>
  <c r="L45" i="52"/>
  <c r="L49" i="52" s="1"/>
  <c r="C46" i="52"/>
  <c r="I46" i="52"/>
  <c r="C47" i="52"/>
  <c r="I47" i="52"/>
  <c r="I45" i="52" s="1"/>
  <c r="I49" i="52" s="1"/>
  <c r="C48" i="52"/>
  <c r="D54" i="52"/>
  <c r="E54" i="52"/>
  <c r="F54" i="52"/>
  <c r="G54" i="52"/>
  <c r="H54" i="52"/>
  <c r="K54" i="52"/>
  <c r="K58" i="52" s="1"/>
  <c r="I55" i="52"/>
  <c r="J55" i="52"/>
  <c r="J54" i="52" s="1"/>
  <c r="J58" i="52" s="1"/>
  <c r="L55" i="52"/>
  <c r="L54" i="52" s="1"/>
  <c r="L58" i="52" s="1"/>
  <c r="C56" i="52"/>
  <c r="I56" i="52"/>
  <c r="C57" i="52"/>
  <c r="I57" i="52"/>
  <c r="E58" i="52"/>
  <c r="F58" i="52"/>
  <c r="G58" i="52"/>
  <c r="H58" i="52"/>
  <c r="D63" i="52"/>
  <c r="D67" i="52" s="1"/>
  <c r="E63" i="52"/>
  <c r="F63" i="52"/>
  <c r="F67" i="52" s="1"/>
  <c r="G63" i="52"/>
  <c r="H63" i="52"/>
  <c r="K63" i="52"/>
  <c r="K67" i="52" s="1"/>
  <c r="I64" i="52"/>
  <c r="J64" i="52"/>
  <c r="J63" i="52" s="1"/>
  <c r="J67" i="52" s="1"/>
  <c r="L64" i="52"/>
  <c r="I65" i="52"/>
  <c r="L65" i="52"/>
  <c r="C65" i="52" s="1"/>
  <c r="C66" i="52"/>
  <c r="I66" i="52"/>
  <c r="E67" i="52"/>
  <c r="G67" i="52"/>
  <c r="H67" i="52"/>
  <c r="D72" i="52"/>
  <c r="E72" i="52"/>
  <c r="F72" i="52"/>
  <c r="G72" i="52"/>
  <c r="H72" i="52"/>
  <c r="H76" i="52" s="1"/>
  <c r="K72" i="52"/>
  <c r="I73" i="52"/>
  <c r="J73" i="52"/>
  <c r="J72" i="52" s="1"/>
  <c r="L73" i="52"/>
  <c r="L72" i="52" s="1"/>
  <c r="L76" i="52" s="1"/>
  <c r="C74" i="52"/>
  <c r="I74" i="52"/>
  <c r="I72" i="52" s="1"/>
  <c r="I76" i="52" s="1"/>
  <c r="C75" i="52"/>
  <c r="I75" i="52"/>
  <c r="D76" i="52"/>
  <c r="E76" i="52"/>
  <c r="F76" i="52"/>
  <c r="G76" i="52"/>
  <c r="K76" i="52"/>
  <c r="D81" i="52"/>
  <c r="D85" i="52" s="1"/>
  <c r="E81" i="52"/>
  <c r="F81" i="52"/>
  <c r="F85" i="52" s="1"/>
  <c r="G81" i="52"/>
  <c r="G85" i="52" s="1"/>
  <c r="H81" i="52"/>
  <c r="K81" i="52"/>
  <c r="K85" i="52" s="1"/>
  <c r="C82" i="52"/>
  <c r="I82" i="52"/>
  <c r="J82" i="52"/>
  <c r="J81" i="52" s="1"/>
  <c r="L82" i="52"/>
  <c r="L81" i="52" s="1"/>
  <c r="L85" i="52" s="1"/>
  <c r="C83" i="52"/>
  <c r="I83" i="52"/>
  <c r="C84" i="52"/>
  <c r="I84" i="52"/>
  <c r="E85" i="52"/>
  <c r="H85" i="52"/>
  <c r="D90" i="52"/>
  <c r="D94" i="52" s="1"/>
  <c r="E90" i="52"/>
  <c r="F90" i="52"/>
  <c r="G90" i="52"/>
  <c r="G94" i="52" s="1"/>
  <c r="H90" i="52"/>
  <c r="J90" i="52"/>
  <c r="K90" i="52"/>
  <c r="K94" i="52" s="1"/>
  <c r="I91" i="52"/>
  <c r="L91" i="52"/>
  <c r="C91" i="52" s="1"/>
  <c r="C92" i="52"/>
  <c r="I92" i="52"/>
  <c r="C93" i="52"/>
  <c r="I93" i="52"/>
  <c r="E94" i="52"/>
  <c r="F94" i="52"/>
  <c r="H94" i="52"/>
  <c r="J94" i="52"/>
  <c r="D99" i="52"/>
  <c r="D103" i="52" s="1"/>
  <c r="E99" i="52"/>
  <c r="F99" i="52"/>
  <c r="G99" i="52"/>
  <c r="H99" i="52"/>
  <c r="J99" i="52"/>
  <c r="K99" i="52"/>
  <c r="I100" i="52"/>
  <c r="L100" i="52"/>
  <c r="C101" i="52"/>
  <c r="I101" i="52"/>
  <c r="C102" i="52"/>
  <c r="I102" i="52"/>
  <c r="E103" i="52"/>
  <c r="F103" i="52"/>
  <c r="G103" i="52"/>
  <c r="H103" i="52"/>
  <c r="J103" i="52"/>
  <c r="K103" i="52"/>
  <c r="D108" i="52"/>
  <c r="E108" i="52"/>
  <c r="E112" i="52" s="1"/>
  <c r="F108" i="52"/>
  <c r="G108" i="52"/>
  <c r="H108" i="52"/>
  <c r="J108" i="52"/>
  <c r="K108" i="52"/>
  <c r="I109" i="52"/>
  <c r="L109" i="52"/>
  <c r="L108" i="52" s="1"/>
  <c r="L112" i="52" s="1"/>
  <c r="C110" i="52"/>
  <c r="I110" i="52"/>
  <c r="C111" i="52"/>
  <c r="I111" i="52"/>
  <c r="D112" i="52"/>
  <c r="F112" i="52"/>
  <c r="G112" i="52"/>
  <c r="H112" i="52"/>
  <c r="J112" i="52"/>
  <c r="K112" i="52"/>
  <c r="D117" i="52"/>
  <c r="D121" i="52" s="1"/>
  <c r="E117" i="52"/>
  <c r="F117" i="52"/>
  <c r="F121" i="52" s="1"/>
  <c r="G117" i="52"/>
  <c r="H117" i="52"/>
  <c r="J117" i="52"/>
  <c r="K117" i="52"/>
  <c r="I118" i="52"/>
  <c r="L118" i="52"/>
  <c r="L117" i="52" s="1"/>
  <c r="L121" i="52" s="1"/>
  <c r="C119" i="52"/>
  <c r="I119" i="52"/>
  <c r="C120" i="52"/>
  <c r="I120" i="52"/>
  <c r="E121" i="52"/>
  <c r="G121" i="52"/>
  <c r="H121" i="52"/>
  <c r="J121" i="52"/>
  <c r="K121" i="52"/>
  <c r="D126" i="52"/>
  <c r="D130" i="52" s="1"/>
  <c r="E126" i="52"/>
  <c r="E130" i="52" s="1"/>
  <c r="F126" i="52"/>
  <c r="F130" i="52" s="1"/>
  <c r="G126" i="52"/>
  <c r="G130" i="52" s="1"/>
  <c r="H126" i="52"/>
  <c r="K126" i="52"/>
  <c r="I127" i="52"/>
  <c r="J127" i="52"/>
  <c r="J126" i="52" s="1"/>
  <c r="J130" i="52" s="1"/>
  <c r="L127" i="52"/>
  <c r="L126" i="52" s="1"/>
  <c r="L130" i="52" s="1"/>
  <c r="C128" i="52"/>
  <c r="I128" i="52"/>
  <c r="C129" i="52"/>
  <c r="I129" i="52"/>
  <c r="H130" i="52"/>
  <c r="K130" i="52"/>
  <c r="D135" i="52"/>
  <c r="E135" i="52"/>
  <c r="E139" i="52" s="1"/>
  <c r="F135" i="52"/>
  <c r="F139" i="52" s="1"/>
  <c r="G135" i="52"/>
  <c r="G139" i="52" s="1"/>
  <c r="H135" i="52"/>
  <c r="H139" i="52" s="1"/>
  <c r="J135" i="52"/>
  <c r="J139" i="52" s="1"/>
  <c r="K135" i="52"/>
  <c r="I136" i="52"/>
  <c r="L136" i="52"/>
  <c r="L135" i="52" s="1"/>
  <c r="L139" i="52" s="1"/>
  <c r="C137" i="52"/>
  <c r="I137" i="52"/>
  <c r="C138" i="52"/>
  <c r="I138" i="52"/>
  <c r="K139" i="52"/>
  <c r="D144" i="52"/>
  <c r="E144" i="52"/>
  <c r="E148" i="52" s="1"/>
  <c r="F144" i="52"/>
  <c r="G144" i="52"/>
  <c r="G148" i="52" s="1"/>
  <c r="H144" i="52"/>
  <c r="H148" i="52" s="1"/>
  <c r="J144" i="52"/>
  <c r="K144" i="52"/>
  <c r="K148" i="52" s="1"/>
  <c r="I145" i="52"/>
  <c r="L145" i="52"/>
  <c r="L144" i="52" s="1"/>
  <c r="L148" i="52" s="1"/>
  <c r="C146" i="52"/>
  <c r="I146" i="52"/>
  <c r="C147" i="52"/>
  <c r="I147" i="52"/>
  <c r="D148" i="52"/>
  <c r="F148" i="52"/>
  <c r="J148" i="52"/>
  <c r="D153" i="52"/>
  <c r="E153" i="52"/>
  <c r="E157" i="52" s="1"/>
  <c r="F153" i="52"/>
  <c r="G153" i="52"/>
  <c r="H153" i="52"/>
  <c r="H157" i="52" s="1"/>
  <c r="J153" i="52"/>
  <c r="K153" i="52"/>
  <c r="I154" i="52"/>
  <c r="L154" i="52"/>
  <c r="C155" i="52"/>
  <c r="I155" i="52"/>
  <c r="C156" i="52"/>
  <c r="I156" i="52"/>
  <c r="D157" i="52"/>
  <c r="F157" i="52"/>
  <c r="G157" i="52"/>
  <c r="J157" i="52"/>
  <c r="K157" i="52"/>
  <c r="D162" i="52"/>
  <c r="E162" i="52"/>
  <c r="E166" i="52" s="1"/>
  <c r="F162" i="52"/>
  <c r="F166" i="52" s="1"/>
  <c r="G162" i="52"/>
  <c r="H162" i="52"/>
  <c r="H166" i="52" s="1"/>
  <c r="K162" i="52"/>
  <c r="K166" i="52" s="1"/>
  <c r="I163" i="52"/>
  <c r="J163" i="52"/>
  <c r="L163" i="52"/>
  <c r="L162" i="52" s="1"/>
  <c r="I164" i="52"/>
  <c r="J164" i="52"/>
  <c r="C164" i="52" s="1"/>
  <c r="C165" i="52"/>
  <c r="I165" i="52"/>
  <c r="G166" i="52"/>
  <c r="L166" i="52"/>
  <c r="D171" i="52"/>
  <c r="E171" i="52"/>
  <c r="E175" i="52" s="1"/>
  <c r="F171" i="52"/>
  <c r="F175" i="52" s="1"/>
  <c r="G171" i="52"/>
  <c r="G175" i="52" s="1"/>
  <c r="H171" i="52"/>
  <c r="H175" i="52" s="1"/>
  <c r="J171" i="52"/>
  <c r="J175" i="52" s="1"/>
  <c r="K171" i="52"/>
  <c r="I172" i="52"/>
  <c r="L172" i="52"/>
  <c r="C173" i="52"/>
  <c r="I173" i="52"/>
  <c r="I171" i="52" s="1"/>
  <c r="I175" i="52" s="1"/>
  <c r="C174" i="52"/>
  <c r="I174" i="52"/>
  <c r="K175" i="52"/>
  <c r="D180" i="52"/>
  <c r="D184" i="52" s="1"/>
  <c r="E180" i="52"/>
  <c r="E184" i="52" s="1"/>
  <c r="F180" i="52"/>
  <c r="F184" i="52" s="1"/>
  <c r="G180" i="52"/>
  <c r="G184" i="52" s="1"/>
  <c r="H180" i="52"/>
  <c r="J180" i="52"/>
  <c r="J184" i="52" s="1"/>
  <c r="K180" i="52"/>
  <c r="K184" i="52" s="1"/>
  <c r="C181" i="52"/>
  <c r="I181" i="52"/>
  <c r="I182" i="52"/>
  <c r="L182" i="52"/>
  <c r="L180" i="52" s="1"/>
  <c r="L184" i="52" s="1"/>
  <c r="C183" i="52"/>
  <c r="I183" i="52"/>
  <c r="H184" i="52"/>
  <c r="D198" i="52"/>
  <c r="D202" i="52" s="1"/>
  <c r="E198" i="52"/>
  <c r="F198" i="52"/>
  <c r="F202" i="52" s="1"/>
  <c r="G198" i="52"/>
  <c r="G202" i="52" s="1"/>
  <c r="H198" i="52"/>
  <c r="H202" i="52" s="1"/>
  <c r="J198" i="52"/>
  <c r="J202" i="52" s="1"/>
  <c r="K198" i="52"/>
  <c r="K202" i="52" s="1"/>
  <c r="I199" i="52"/>
  <c r="L199" i="52"/>
  <c r="L198" i="52" s="1"/>
  <c r="L202" i="52" s="1"/>
  <c r="C200" i="52"/>
  <c r="I200" i="52"/>
  <c r="C201" i="52"/>
  <c r="I201" i="52"/>
  <c r="E202" i="52"/>
  <c r="D207" i="52"/>
  <c r="D211" i="52" s="1"/>
  <c r="E207" i="52"/>
  <c r="F207" i="52"/>
  <c r="G207" i="52"/>
  <c r="H207" i="52"/>
  <c r="J207" i="52"/>
  <c r="J211" i="52" s="1"/>
  <c r="K207" i="52"/>
  <c r="K211" i="52" s="1"/>
  <c r="L207" i="52"/>
  <c r="L211" i="52" s="1"/>
  <c r="I208" i="52"/>
  <c r="L208" i="52"/>
  <c r="C208" i="52" s="1"/>
  <c r="C209" i="52"/>
  <c r="I209" i="52"/>
  <c r="I207" i="52" s="1"/>
  <c r="I211" i="52" s="1"/>
  <c r="C210" i="52"/>
  <c r="I210" i="52"/>
  <c r="E211" i="52"/>
  <c r="F211" i="52"/>
  <c r="G211" i="52"/>
  <c r="H211" i="52"/>
  <c r="D216" i="52"/>
  <c r="E216" i="52"/>
  <c r="F216" i="52"/>
  <c r="G216" i="52"/>
  <c r="G220" i="52" s="1"/>
  <c r="H216" i="52"/>
  <c r="H220" i="52" s="1"/>
  <c r="J216" i="52"/>
  <c r="K216" i="52"/>
  <c r="I217" i="52"/>
  <c r="L217" i="52"/>
  <c r="C217" i="52" s="1"/>
  <c r="C218" i="52"/>
  <c r="I218" i="52"/>
  <c r="C219" i="52"/>
  <c r="I219" i="52"/>
  <c r="D220" i="52"/>
  <c r="E220" i="52"/>
  <c r="F220" i="52"/>
  <c r="J220" i="52"/>
  <c r="K220" i="52"/>
  <c r="D225" i="52"/>
  <c r="E225" i="52"/>
  <c r="F225" i="52"/>
  <c r="G225" i="52"/>
  <c r="H225" i="52"/>
  <c r="H229" i="52" s="1"/>
  <c r="J225" i="52"/>
  <c r="J229" i="52" s="1"/>
  <c r="K225" i="52"/>
  <c r="I226" i="52"/>
  <c r="L226" i="52"/>
  <c r="L225" i="52" s="1"/>
  <c r="L229" i="52" s="1"/>
  <c r="C227" i="52"/>
  <c r="I227" i="52"/>
  <c r="C228" i="52"/>
  <c r="I228" i="52"/>
  <c r="D229" i="52"/>
  <c r="E229" i="52"/>
  <c r="F229" i="52"/>
  <c r="G229" i="52"/>
  <c r="K229" i="52"/>
  <c r="D234" i="52"/>
  <c r="D238" i="52" s="1"/>
  <c r="E234" i="52"/>
  <c r="F234" i="52"/>
  <c r="G234" i="52"/>
  <c r="G238" i="52" s="1"/>
  <c r="H234" i="52"/>
  <c r="J234" i="52"/>
  <c r="J238" i="52" s="1"/>
  <c r="K234" i="52"/>
  <c r="K238" i="52" s="1"/>
  <c r="I235" i="52"/>
  <c r="L235" i="52"/>
  <c r="C236" i="52"/>
  <c r="I236" i="52"/>
  <c r="C237" i="52"/>
  <c r="I237" i="52"/>
  <c r="E238" i="52"/>
  <c r="F238" i="52"/>
  <c r="H238" i="52"/>
  <c r="D243" i="52"/>
  <c r="D247" i="52" s="1"/>
  <c r="E243" i="52"/>
  <c r="F243" i="52"/>
  <c r="G243" i="52"/>
  <c r="G247" i="52" s="1"/>
  <c r="H243" i="52"/>
  <c r="J243" i="52"/>
  <c r="K243" i="52"/>
  <c r="K247" i="52" s="1"/>
  <c r="I244" i="52"/>
  <c r="L244" i="52"/>
  <c r="C245" i="52"/>
  <c r="I245" i="52"/>
  <c r="C246" i="52"/>
  <c r="I246" i="52"/>
  <c r="E247" i="52"/>
  <c r="F247" i="52"/>
  <c r="H247" i="52"/>
  <c r="J247" i="52"/>
  <c r="D252" i="52"/>
  <c r="D256" i="52" s="1"/>
  <c r="E252" i="52"/>
  <c r="F252" i="52"/>
  <c r="G252" i="52"/>
  <c r="H252" i="52"/>
  <c r="J252" i="52"/>
  <c r="K252" i="52"/>
  <c r="I253" i="52"/>
  <c r="L253" i="52"/>
  <c r="L252" i="52" s="1"/>
  <c r="L256" i="52" s="1"/>
  <c r="C254" i="52"/>
  <c r="I254" i="52"/>
  <c r="C255" i="52"/>
  <c r="I255" i="52"/>
  <c r="E256" i="52"/>
  <c r="F256" i="52"/>
  <c r="G256" i="52"/>
  <c r="H256" i="52"/>
  <c r="J256" i="52"/>
  <c r="K256" i="52"/>
  <c r="D261" i="52"/>
  <c r="D265" i="52" s="1"/>
  <c r="E261" i="52"/>
  <c r="E265" i="52" s="1"/>
  <c r="F261" i="52"/>
  <c r="F265" i="52" s="1"/>
  <c r="G261" i="52"/>
  <c r="H261" i="52"/>
  <c r="J261" i="52"/>
  <c r="K261" i="52"/>
  <c r="L261" i="52"/>
  <c r="L265" i="52" s="1"/>
  <c r="C262" i="52"/>
  <c r="I262" i="52"/>
  <c r="L262" i="52"/>
  <c r="C263" i="52"/>
  <c r="I263" i="52"/>
  <c r="C264" i="52"/>
  <c r="I264" i="52"/>
  <c r="G265" i="52"/>
  <c r="H265" i="52"/>
  <c r="J265" i="52"/>
  <c r="K265" i="52"/>
  <c r="D270" i="52"/>
  <c r="D274" i="52" s="1"/>
  <c r="E270" i="52"/>
  <c r="E274" i="52" s="1"/>
  <c r="F270" i="52"/>
  <c r="F274" i="52" s="1"/>
  <c r="G270" i="52"/>
  <c r="G274" i="52" s="1"/>
  <c r="H270" i="52"/>
  <c r="H274" i="52" s="1"/>
  <c r="J270" i="52"/>
  <c r="J274" i="52" s="1"/>
  <c r="K270" i="52"/>
  <c r="K274" i="52" s="1"/>
  <c r="I271" i="52"/>
  <c r="L271" i="52"/>
  <c r="L270" i="52" s="1"/>
  <c r="L274" i="52" s="1"/>
  <c r="C272" i="52"/>
  <c r="I272" i="52"/>
  <c r="C273" i="52"/>
  <c r="I273" i="52"/>
  <c r="D279" i="52"/>
  <c r="E279" i="52"/>
  <c r="E283" i="52" s="1"/>
  <c r="F279" i="52"/>
  <c r="F283" i="52" s="1"/>
  <c r="G279" i="52"/>
  <c r="G283" i="52" s="1"/>
  <c r="H279" i="52"/>
  <c r="H283" i="52" s="1"/>
  <c r="J279" i="52"/>
  <c r="K279" i="52"/>
  <c r="K283" i="52" s="1"/>
  <c r="C280" i="52"/>
  <c r="I280" i="52"/>
  <c r="L280" i="52"/>
  <c r="L279" i="52" s="1"/>
  <c r="C281" i="52"/>
  <c r="I281" i="52"/>
  <c r="C282" i="52"/>
  <c r="I282" i="52"/>
  <c r="J283" i="52"/>
  <c r="L283" i="52"/>
  <c r="D288" i="52"/>
  <c r="E288" i="52"/>
  <c r="E292" i="52" s="1"/>
  <c r="F288" i="52"/>
  <c r="F292" i="52" s="1"/>
  <c r="G288" i="52"/>
  <c r="G292" i="52" s="1"/>
  <c r="H288" i="52"/>
  <c r="H292" i="52" s="1"/>
  <c r="J288" i="52"/>
  <c r="K288" i="52"/>
  <c r="I289" i="52"/>
  <c r="L289" i="52"/>
  <c r="C290" i="52"/>
  <c r="I290" i="52"/>
  <c r="C291" i="52"/>
  <c r="I291" i="52"/>
  <c r="D292" i="52"/>
  <c r="J292" i="52"/>
  <c r="K292" i="52"/>
  <c r="D297" i="52"/>
  <c r="D301" i="52" s="1"/>
  <c r="F297" i="52"/>
  <c r="F301" i="52" s="1"/>
  <c r="G297" i="52"/>
  <c r="G301" i="52" s="1"/>
  <c r="H297" i="52"/>
  <c r="H301" i="52" s="1"/>
  <c r="J297" i="52"/>
  <c r="K297" i="52"/>
  <c r="K301" i="52" s="1"/>
  <c r="E298" i="52"/>
  <c r="I298" i="52"/>
  <c r="I297" i="52" s="1"/>
  <c r="I301" i="52" s="1"/>
  <c r="L298" i="52"/>
  <c r="C299" i="52"/>
  <c r="E299" i="52"/>
  <c r="I299" i="52"/>
  <c r="C300" i="52"/>
  <c r="E300" i="52"/>
  <c r="E297" i="52" s="1"/>
  <c r="E301" i="52" s="1"/>
  <c r="I300" i="52"/>
  <c r="J301" i="52"/>
  <c r="D329" i="52"/>
  <c r="F329" i="52"/>
  <c r="E329" i="52" s="1"/>
  <c r="G329" i="52"/>
  <c r="G336" i="52" s="1"/>
  <c r="H329" i="52"/>
  <c r="J329" i="52"/>
  <c r="K329" i="52"/>
  <c r="C329" i="52" s="1"/>
  <c r="L329" i="52"/>
  <c r="C330" i="52"/>
  <c r="I330" i="52"/>
  <c r="I329" i="52" s="1"/>
  <c r="I336" i="52" s="1"/>
  <c r="C331" i="52"/>
  <c r="D333" i="52"/>
  <c r="F333" i="52"/>
  <c r="E333" i="52" s="1"/>
  <c r="G333" i="52"/>
  <c r="H333" i="52"/>
  <c r="H336" i="52" s="1"/>
  <c r="K333" i="52"/>
  <c r="K336" i="52" s="1"/>
  <c r="L333" i="52"/>
  <c r="L336" i="52" s="1"/>
  <c r="I334" i="52"/>
  <c r="I333" i="52" s="1"/>
  <c r="J334" i="52"/>
  <c r="J333" i="52" s="1"/>
  <c r="C335" i="52"/>
  <c r="D336" i="52"/>
  <c r="F336" i="52"/>
  <c r="D337" i="52"/>
  <c r="F337" i="52"/>
  <c r="E337" i="52" s="1"/>
  <c r="G337" i="52"/>
  <c r="H337" i="52"/>
  <c r="I337" i="52"/>
  <c r="I345" i="52" s="1"/>
  <c r="J337" i="52"/>
  <c r="K337" i="52"/>
  <c r="K345" i="52" s="1"/>
  <c r="L337" i="52"/>
  <c r="C338" i="52"/>
  <c r="C337" i="52" s="1"/>
  <c r="C339" i="52"/>
  <c r="D341" i="52"/>
  <c r="F341" i="52"/>
  <c r="G341" i="52"/>
  <c r="H341" i="52"/>
  <c r="H345" i="52" s="1"/>
  <c r="I341" i="52"/>
  <c r="K341" i="52"/>
  <c r="L341" i="52"/>
  <c r="J342" i="52"/>
  <c r="J341" i="52" s="1"/>
  <c r="J345" i="52" s="1"/>
  <c r="C343" i="52"/>
  <c r="G345" i="52"/>
  <c r="D346" i="52"/>
  <c r="F346" i="52"/>
  <c r="G346" i="52"/>
  <c r="H346" i="52"/>
  <c r="I346" i="52"/>
  <c r="J346" i="52"/>
  <c r="K346" i="52"/>
  <c r="L346" i="52"/>
  <c r="L353" i="52" s="1"/>
  <c r="C347" i="52"/>
  <c r="C346" i="52" s="1"/>
  <c r="C348" i="52"/>
  <c r="D350" i="52"/>
  <c r="F350" i="52"/>
  <c r="E350" i="52" s="1"/>
  <c r="G350" i="52"/>
  <c r="G353" i="52" s="1"/>
  <c r="H350" i="52"/>
  <c r="H353" i="52" s="1"/>
  <c r="I350" i="52"/>
  <c r="K350" i="52"/>
  <c r="L350" i="52"/>
  <c r="J351" i="52"/>
  <c r="J350" i="52" s="1"/>
  <c r="J353" i="52" s="1"/>
  <c r="C352" i="52"/>
  <c r="D353" i="52"/>
  <c r="F353" i="52"/>
  <c r="D354" i="52"/>
  <c r="F354" i="52"/>
  <c r="E354" i="52" s="1"/>
  <c r="G354" i="52"/>
  <c r="H354" i="52"/>
  <c r="I354" i="52"/>
  <c r="J354" i="52"/>
  <c r="K354" i="52"/>
  <c r="L354" i="52"/>
  <c r="C355" i="52"/>
  <c r="C354" i="52" s="1"/>
  <c r="C356" i="52"/>
  <c r="D358" i="52"/>
  <c r="F358" i="52"/>
  <c r="G358" i="52"/>
  <c r="G361" i="52" s="1"/>
  <c r="H358" i="52"/>
  <c r="H361" i="52" s="1"/>
  <c r="I358" i="52"/>
  <c r="I361" i="52" s="1"/>
  <c r="K358" i="52"/>
  <c r="K361" i="52" s="1"/>
  <c r="L358" i="52"/>
  <c r="J359" i="52"/>
  <c r="C359" i="52" s="1"/>
  <c r="C358" i="52" s="1"/>
  <c r="C360" i="52"/>
  <c r="D362" i="52"/>
  <c r="E362" i="52"/>
  <c r="G362" i="52"/>
  <c r="H362" i="52"/>
  <c r="J362" i="52"/>
  <c r="I363" i="52"/>
  <c r="I364" i="52"/>
  <c r="F365" i="52"/>
  <c r="F362" i="52" s="1"/>
  <c r="I365" i="52"/>
  <c r="C367" i="52"/>
  <c r="C372" i="52" s="1"/>
  <c r="D367" i="52"/>
  <c r="D372" i="52" s="1"/>
  <c r="E367" i="52"/>
  <c r="G367" i="52"/>
  <c r="H367" i="52"/>
  <c r="H372" i="52" s="1"/>
  <c r="J367" i="52"/>
  <c r="J372" i="52" s="1"/>
  <c r="K367" i="52"/>
  <c r="F368" i="52"/>
  <c r="I368" i="52"/>
  <c r="L368" i="52"/>
  <c r="F369" i="52"/>
  <c r="I369" i="52"/>
  <c r="L369" i="52"/>
  <c r="F370" i="52"/>
  <c r="I370" i="52"/>
  <c r="L370" i="52"/>
  <c r="I371" i="52"/>
  <c r="L371" i="52"/>
  <c r="K372" i="52"/>
  <c r="D377" i="52"/>
  <c r="E377" i="52"/>
  <c r="E381" i="52" s="1"/>
  <c r="G377" i="52"/>
  <c r="G381" i="52" s="1"/>
  <c r="H377" i="52"/>
  <c r="H381" i="52" s="1"/>
  <c r="I377" i="52"/>
  <c r="I381" i="52" s="1"/>
  <c r="J377" i="52"/>
  <c r="J381" i="52" s="1"/>
  <c r="K377" i="52"/>
  <c r="K381" i="52" s="1"/>
  <c r="L377" i="52"/>
  <c r="L381" i="52" s="1"/>
  <c r="F378" i="52"/>
  <c r="F377" i="52" s="1"/>
  <c r="F381" i="52" s="1"/>
  <c r="L378" i="52"/>
  <c r="L379" i="52"/>
  <c r="F380" i="52"/>
  <c r="L380" i="52"/>
  <c r="C381" i="52"/>
  <c r="D381" i="52"/>
  <c r="G382" i="52"/>
  <c r="H382" i="52"/>
  <c r="I382" i="52"/>
  <c r="J382" i="52"/>
  <c r="K382" i="52"/>
  <c r="K390" i="52" s="1"/>
  <c r="D386" i="52"/>
  <c r="E386" i="52"/>
  <c r="G386" i="52"/>
  <c r="H386" i="52"/>
  <c r="I386" i="52"/>
  <c r="I390" i="52" s="1"/>
  <c r="J386" i="52"/>
  <c r="J390" i="52" s="1"/>
  <c r="F387" i="52"/>
  <c r="F389" i="52"/>
  <c r="D390" i="52"/>
  <c r="E390" i="52"/>
  <c r="H390" i="52"/>
  <c r="L390" i="52"/>
  <c r="D391" i="52"/>
  <c r="F391" i="52"/>
  <c r="E391" i="52" s="1"/>
  <c r="G391" i="52"/>
  <c r="H391" i="52"/>
  <c r="I391" i="52"/>
  <c r="J391" i="52"/>
  <c r="K391" i="52"/>
  <c r="L391" i="52"/>
  <c r="C392" i="52"/>
  <c r="C391" i="52" s="1"/>
  <c r="I392" i="52"/>
  <c r="C393" i="52"/>
  <c r="C394" i="52"/>
  <c r="C395" i="52"/>
  <c r="D396" i="52"/>
  <c r="F396" i="52"/>
  <c r="G396" i="52"/>
  <c r="G401" i="52" s="1"/>
  <c r="H396" i="52"/>
  <c r="H401" i="52" s="1"/>
  <c r="J396" i="52"/>
  <c r="J401" i="52" s="1"/>
  <c r="K396" i="52"/>
  <c r="K401" i="52" s="1"/>
  <c r="C397" i="52"/>
  <c r="C398" i="52"/>
  <c r="C399" i="52"/>
  <c r="C400" i="52"/>
  <c r="D402" i="52"/>
  <c r="F402" i="52"/>
  <c r="E402" i="52" s="1"/>
  <c r="G402" i="52"/>
  <c r="H402" i="52"/>
  <c r="I402" i="52"/>
  <c r="J402" i="52"/>
  <c r="K402" i="52"/>
  <c r="L402" i="52"/>
  <c r="C403" i="52"/>
  <c r="C404" i="52"/>
  <c r="C405" i="52"/>
  <c r="C406" i="52"/>
  <c r="D407" i="52"/>
  <c r="F407" i="52"/>
  <c r="E407" i="52" s="1"/>
  <c r="E412" i="52" s="1"/>
  <c r="G407" i="52"/>
  <c r="G412" i="52" s="1"/>
  <c r="H407" i="52"/>
  <c r="H412" i="52" s="1"/>
  <c r="I407" i="52"/>
  <c r="I412" i="52" s="1"/>
  <c r="J407" i="52"/>
  <c r="J412" i="52" s="1"/>
  <c r="K407" i="52"/>
  <c r="K412" i="52" s="1"/>
  <c r="C408" i="52"/>
  <c r="F408" i="52"/>
  <c r="C409" i="52"/>
  <c r="C410" i="52"/>
  <c r="C411" i="52"/>
  <c r="D413" i="52"/>
  <c r="F413" i="52"/>
  <c r="G413" i="52"/>
  <c r="H413" i="52"/>
  <c r="I413" i="52"/>
  <c r="J413" i="52"/>
  <c r="K413" i="52"/>
  <c r="L413" i="52"/>
  <c r="C414" i="52"/>
  <c r="C415" i="52"/>
  <c r="C416" i="52"/>
  <c r="C417" i="52"/>
  <c r="D418" i="52"/>
  <c r="F418" i="52"/>
  <c r="E418" i="52" s="1"/>
  <c r="G418" i="52"/>
  <c r="H418" i="52"/>
  <c r="H423" i="52" s="1"/>
  <c r="J418" i="52"/>
  <c r="K418" i="52"/>
  <c r="C419" i="52"/>
  <c r="C420" i="52"/>
  <c r="C421" i="52"/>
  <c r="C422" i="52"/>
  <c r="D424" i="52"/>
  <c r="E424" i="52" s="1"/>
  <c r="F424" i="52"/>
  <c r="F434" i="52" s="1"/>
  <c r="G424" i="52"/>
  <c r="H424" i="52"/>
  <c r="I424" i="52"/>
  <c r="J424" i="52"/>
  <c r="K424" i="52"/>
  <c r="L424" i="52"/>
  <c r="C425" i="52"/>
  <c r="C426" i="52"/>
  <c r="C427" i="52"/>
  <c r="C424" i="52" s="1"/>
  <c r="C428" i="52"/>
  <c r="D429" i="52"/>
  <c r="F429" i="52"/>
  <c r="G429" i="52"/>
  <c r="H429" i="52"/>
  <c r="H434" i="52" s="1"/>
  <c r="J429" i="52"/>
  <c r="K429" i="52"/>
  <c r="C430" i="52"/>
  <c r="C429" i="52" s="1"/>
  <c r="C431" i="52"/>
  <c r="C432" i="52"/>
  <c r="C433" i="52"/>
  <c r="J434" i="52"/>
  <c r="K434" i="52"/>
  <c r="D435" i="52"/>
  <c r="F435" i="52"/>
  <c r="G435" i="52"/>
  <c r="G445" i="52" s="1"/>
  <c r="H435" i="52"/>
  <c r="H445" i="52" s="1"/>
  <c r="J435" i="52"/>
  <c r="J445" i="52" s="1"/>
  <c r="K435" i="52"/>
  <c r="L435" i="52"/>
  <c r="C436" i="52"/>
  <c r="I436" i="52"/>
  <c r="C437" i="52"/>
  <c r="C438" i="52"/>
  <c r="C439" i="52"/>
  <c r="D440" i="52"/>
  <c r="D445" i="52" s="1"/>
  <c r="F440" i="52"/>
  <c r="E440" i="52" s="1"/>
  <c r="I440" i="52"/>
  <c r="J440" i="52"/>
  <c r="K440" i="52"/>
  <c r="C441" i="52"/>
  <c r="C442" i="52"/>
  <c r="C443" i="52"/>
  <c r="C444" i="52"/>
  <c r="D446" i="52"/>
  <c r="F446" i="52"/>
  <c r="E446" i="52" s="1"/>
  <c r="G446" i="52"/>
  <c r="H446" i="52"/>
  <c r="J446" i="52"/>
  <c r="K446" i="52"/>
  <c r="L446" i="52"/>
  <c r="C447" i="52"/>
  <c r="C446" i="52" s="1"/>
  <c r="I447" i="52"/>
  <c r="C448" i="52"/>
  <c r="C449" i="52"/>
  <c r="C450" i="52"/>
  <c r="D451" i="52"/>
  <c r="D456" i="52" s="1"/>
  <c r="F451" i="52"/>
  <c r="E451" i="52" s="1"/>
  <c r="E456" i="52" s="1"/>
  <c r="G451" i="52"/>
  <c r="G456" i="52" s="1"/>
  <c r="H451" i="52"/>
  <c r="I451" i="52"/>
  <c r="J451" i="52"/>
  <c r="K451" i="52"/>
  <c r="K456" i="52" s="1"/>
  <c r="C452" i="52"/>
  <c r="F452" i="52"/>
  <c r="C453" i="52"/>
  <c r="F453" i="52"/>
  <c r="C454" i="52"/>
  <c r="F454" i="52"/>
  <c r="C455" i="52"/>
  <c r="F455" i="52"/>
  <c r="AF13" i="15" l="1"/>
  <c r="AF12" i="15"/>
  <c r="AF8" i="15"/>
  <c r="T13" i="15"/>
  <c r="AF9" i="15"/>
  <c r="C361" i="52"/>
  <c r="F445" i="52"/>
  <c r="L345" i="52"/>
  <c r="E336" i="52"/>
  <c r="C226" i="52"/>
  <c r="I446" i="52"/>
  <c r="I435" i="52"/>
  <c r="I445" i="52" s="1"/>
  <c r="E413" i="52"/>
  <c r="E423" i="52" s="1"/>
  <c r="D412" i="52"/>
  <c r="D401" i="52"/>
  <c r="G390" i="52"/>
  <c r="F367" i="52"/>
  <c r="F372" i="52" s="1"/>
  <c r="I353" i="52"/>
  <c r="I180" i="52"/>
  <c r="I184" i="52" s="1"/>
  <c r="C108" i="52"/>
  <c r="C112" i="52" s="1"/>
  <c r="C36" i="52"/>
  <c r="C40" i="52" s="1"/>
  <c r="C407" i="52"/>
  <c r="L407" i="52" s="1"/>
  <c r="L412" i="52" s="1"/>
  <c r="E372" i="52"/>
  <c r="L361" i="52"/>
  <c r="L216" i="52"/>
  <c r="L220" i="52" s="1"/>
  <c r="L63" i="52"/>
  <c r="L67" i="52" s="1"/>
  <c r="C440" i="52"/>
  <c r="C396" i="52"/>
  <c r="C401" i="52" s="1"/>
  <c r="I396" i="52"/>
  <c r="I401" i="52" s="1"/>
  <c r="J358" i="52"/>
  <c r="J361" i="52" s="1"/>
  <c r="I234" i="52"/>
  <c r="I238" i="52" s="1"/>
  <c r="C225" i="52"/>
  <c r="C229" i="52" s="1"/>
  <c r="I198" i="52"/>
  <c r="I202" i="52" s="1"/>
  <c r="C182" i="52"/>
  <c r="I90" i="52"/>
  <c r="I94" i="52" s="1"/>
  <c r="I63" i="52"/>
  <c r="I67" i="52" s="1"/>
  <c r="I18" i="52"/>
  <c r="I22" i="52" s="1"/>
  <c r="L22" i="52"/>
  <c r="F456" i="52"/>
  <c r="J456" i="52"/>
  <c r="C435" i="52"/>
  <c r="K445" i="52"/>
  <c r="E429" i="52"/>
  <c r="E434" i="52" s="1"/>
  <c r="E396" i="52"/>
  <c r="E401" i="52" s="1"/>
  <c r="G372" i="52"/>
  <c r="D361" i="52"/>
  <c r="K353" i="52"/>
  <c r="E346" i="52"/>
  <c r="E353" i="52" s="1"/>
  <c r="I243" i="52"/>
  <c r="I247" i="52" s="1"/>
  <c r="I216" i="52"/>
  <c r="I220" i="52" s="1"/>
  <c r="I126" i="52"/>
  <c r="I130" i="52" s="1"/>
  <c r="J13" i="52"/>
  <c r="F386" i="52"/>
  <c r="F390" i="52" s="1"/>
  <c r="L243" i="52"/>
  <c r="L247" i="52" s="1"/>
  <c r="C244" i="52"/>
  <c r="L90" i="52"/>
  <c r="L94" i="52" s="1"/>
  <c r="G434" i="52"/>
  <c r="I429" i="52"/>
  <c r="I434" i="52" s="1"/>
  <c r="C382" i="52"/>
  <c r="I456" i="52"/>
  <c r="D434" i="52"/>
  <c r="L429" i="52"/>
  <c r="L434" i="52" s="1"/>
  <c r="C434" i="52"/>
  <c r="C136" i="52"/>
  <c r="C72" i="52"/>
  <c r="C76" i="52" s="1"/>
  <c r="J76" i="52"/>
  <c r="D166" i="52"/>
  <c r="C81" i="52"/>
  <c r="C85" i="52" s="1"/>
  <c r="J85" i="52"/>
  <c r="G423" i="52"/>
  <c r="I418" i="52"/>
  <c r="I423" i="52" s="1"/>
  <c r="C243" i="52"/>
  <c r="C247" i="52" s="1"/>
  <c r="H456" i="52"/>
  <c r="E358" i="52"/>
  <c r="E361" i="52" s="1"/>
  <c r="F361" i="52"/>
  <c r="C126" i="52"/>
  <c r="C130" i="52" s="1"/>
  <c r="I135" i="52"/>
  <c r="I139" i="52" s="1"/>
  <c r="C180" i="52"/>
  <c r="C184" i="52" s="1"/>
  <c r="I270" i="52"/>
  <c r="I274" i="52" s="1"/>
  <c r="C135" i="52"/>
  <c r="C139" i="52" s="1"/>
  <c r="C117" i="52"/>
  <c r="C121" i="52" s="1"/>
  <c r="L367" i="52"/>
  <c r="L372" i="52" s="1"/>
  <c r="C252" i="52"/>
  <c r="C256" i="52" s="1"/>
  <c r="F412" i="52"/>
  <c r="C271" i="52"/>
  <c r="L153" i="52"/>
  <c r="L157" i="52" s="1"/>
  <c r="C154" i="52"/>
  <c r="I153" i="52"/>
  <c r="I157" i="52" s="1"/>
  <c r="C144" i="52"/>
  <c r="C148" i="52" s="1"/>
  <c r="C64" i="52"/>
  <c r="D58" i="52"/>
  <c r="C54" i="52"/>
  <c r="C58" i="52" s="1"/>
  <c r="I367" i="52"/>
  <c r="F401" i="52"/>
  <c r="C27" i="52"/>
  <c r="C31" i="52" s="1"/>
  <c r="C418" i="52"/>
  <c r="C342" i="52"/>
  <c r="C341" i="52" s="1"/>
  <c r="C345" i="52" s="1"/>
  <c r="L288" i="52"/>
  <c r="L292" i="52" s="1"/>
  <c r="C289" i="52"/>
  <c r="D283" i="52"/>
  <c r="C279" i="52"/>
  <c r="C283" i="52" s="1"/>
  <c r="I162" i="52"/>
  <c r="I166" i="52" s="1"/>
  <c r="C351" i="52"/>
  <c r="C350" i="52" s="1"/>
  <c r="C353" i="52" s="1"/>
  <c r="J336" i="52"/>
  <c r="C333" i="52"/>
  <c r="C336" i="52" s="1"/>
  <c r="I288" i="52"/>
  <c r="I292" i="52" s="1"/>
  <c r="D139" i="52"/>
  <c r="C127" i="52"/>
  <c r="C73" i="52"/>
  <c r="K423" i="52"/>
  <c r="D175" i="52"/>
  <c r="J423" i="52"/>
  <c r="L396" i="52"/>
  <c r="L401" i="52" s="1"/>
  <c r="C334" i="52"/>
  <c r="C198" i="52"/>
  <c r="C202" i="52" s="1"/>
  <c r="C153" i="52"/>
  <c r="C157" i="52" s="1"/>
  <c r="I81" i="52"/>
  <c r="I85" i="52" s="1"/>
  <c r="L99" i="52"/>
  <c r="L103" i="52" s="1"/>
  <c r="C100" i="52"/>
  <c r="C45" i="52"/>
  <c r="C49" i="52" s="1"/>
  <c r="C413" i="52"/>
  <c r="I99" i="52"/>
  <c r="I103" i="52" s="1"/>
  <c r="C261" i="52"/>
  <c r="C265" i="52" s="1"/>
  <c r="I225" i="52"/>
  <c r="I229" i="52" s="1"/>
  <c r="I54" i="52"/>
  <c r="I58" i="52" s="1"/>
  <c r="E435" i="52"/>
  <c r="E445" i="52" s="1"/>
  <c r="C235" i="52"/>
  <c r="L234" i="52"/>
  <c r="I144" i="52"/>
  <c r="I148" i="52" s="1"/>
  <c r="C55" i="52"/>
  <c r="C451" i="52"/>
  <c r="C145" i="52"/>
  <c r="C270" i="52"/>
  <c r="C274" i="52" s="1"/>
  <c r="I279" i="52"/>
  <c r="I283" i="52" s="1"/>
  <c r="I27" i="52"/>
  <c r="I31" i="52" s="1"/>
  <c r="C18" i="52"/>
  <c r="C22" i="52" s="1"/>
  <c r="F345" i="52"/>
  <c r="C163" i="52"/>
  <c r="C402" i="52"/>
  <c r="C412" i="52" s="1"/>
  <c r="I108" i="52"/>
  <c r="I112" i="52" s="1"/>
  <c r="C28" i="52"/>
  <c r="I362" i="52"/>
  <c r="D345" i="52"/>
  <c r="E341" i="52"/>
  <c r="E345" i="52" s="1"/>
  <c r="C207" i="52"/>
  <c r="C211" i="52" s="1"/>
  <c r="L297" i="52"/>
  <c r="L301" i="52" s="1"/>
  <c r="C298" i="52"/>
  <c r="I252" i="52"/>
  <c r="I256" i="52" s="1"/>
  <c r="C109" i="52"/>
  <c r="C63" i="52"/>
  <c r="C67" i="52" s="1"/>
  <c r="D423" i="52"/>
  <c r="C386" i="52"/>
  <c r="C253" i="52"/>
  <c r="J162" i="52"/>
  <c r="J166" i="52" s="1"/>
  <c r="L171" i="52"/>
  <c r="L175" i="52" s="1"/>
  <c r="C172" i="52"/>
  <c r="I117" i="52"/>
  <c r="I121" i="52" s="1"/>
  <c r="C216" i="52"/>
  <c r="C220" i="52" s="1"/>
  <c r="C118" i="52"/>
  <c r="I261" i="52"/>
  <c r="I265" i="52" s="1"/>
  <c r="F423" i="52"/>
  <c r="D49" i="52"/>
  <c r="C199" i="52"/>
  <c r="N126" i="34"/>
  <c r="M126" i="34"/>
  <c r="N125" i="34"/>
  <c r="M125" i="34"/>
  <c r="N124" i="34"/>
  <c r="M124" i="34"/>
  <c r="N122" i="34"/>
  <c r="M122" i="34"/>
  <c r="N121" i="34"/>
  <c r="M121" i="34"/>
  <c r="N120" i="34"/>
  <c r="M120" i="34"/>
  <c r="N118" i="34"/>
  <c r="M118" i="34"/>
  <c r="N117" i="34"/>
  <c r="M117" i="34"/>
  <c r="N116" i="34"/>
  <c r="M116" i="34"/>
  <c r="N114" i="34"/>
  <c r="M114" i="34"/>
  <c r="N113" i="34"/>
  <c r="M113" i="34"/>
  <c r="N112" i="34"/>
  <c r="M112" i="34"/>
  <c r="N110" i="34"/>
  <c r="M110" i="34"/>
  <c r="N109" i="34"/>
  <c r="M109" i="34"/>
  <c r="N108" i="34"/>
  <c r="M108" i="34"/>
  <c r="N106" i="34"/>
  <c r="M106" i="34"/>
  <c r="N105" i="34"/>
  <c r="M105" i="34"/>
  <c r="N104" i="34"/>
  <c r="M104" i="34"/>
  <c r="N102" i="34"/>
  <c r="M102" i="34"/>
  <c r="N101" i="34"/>
  <c r="M101" i="34"/>
  <c r="N100" i="34"/>
  <c r="M100" i="34"/>
  <c r="N98" i="34"/>
  <c r="M98" i="34"/>
  <c r="N97" i="34"/>
  <c r="M97" i="34"/>
  <c r="N96" i="34"/>
  <c r="M96" i="34"/>
  <c r="N94" i="34"/>
  <c r="M94" i="34"/>
  <c r="N93" i="34"/>
  <c r="M93" i="34"/>
  <c r="N92" i="34"/>
  <c r="M92" i="34"/>
  <c r="N90" i="34"/>
  <c r="M90" i="34"/>
  <c r="N89" i="34"/>
  <c r="M89" i="34"/>
  <c r="N88" i="34"/>
  <c r="M88" i="34"/>
  <c r="N86" i="34"/>
  <c r="M86" i="34"/>
  <c r="N85" i="34"/>
  <c r="M85" i="34"/>
  <c r="N84" i="34"/>
  <c r="M84" i="34"/>
  <c r="N82" i="34"/>
  <c r="M82" i="34"/>
  <c r="N81" i="34"/>
  <c r="M81" i="34"/>
  <c r="N80" i="34"/>
  <c r="M80" i="34"/>
  <c r="N78" i="34"/>
  <c r="M78" i="34"/>
  <c r="N77" i="34"/>
  <c r="M77" i="34"/>
  <c r="N76" i="34"/>
  <c r="M76" i="34"/>
  <c r="N74" i="34"/>
  <c r="M74" i="34"/>
  <c r="N73" i="34"/>
  <c r="M73" i="34"/>
  <c r="N72" i="34"/>
  <c r="M72" i="34"/>
  <c r="N70" i="34"/>
  <c r="M70" i="34"/>
  <c r="N69" i="34"/>
  <c r="M69" i="34"/>
  <c r="N68" i="34"/>
  <c r="M68" i="34"/>
  <c r="N66" i="34"/>
  <c r="M66" i="34"/>
  <c r="N65" i="34"/>
  <c r="M65" i="34"/>
  <c r="N64" i="34"/>
  <c r="M64" i="34"/>
  <c r="N62" i="34"/>
  <c r="M62" i="34"/>
  <c r="N61" i="34"/>
  <c r="M61" i="34"/>
  <c r="N60" i="34"/>
  <c r="M60" i="34"/>
  <c r="N58" i="34"/>
  <c r="M58" i="34"/>
  <c r="N57" i="34"/>
  <c r="M57" i="34"/>
  <c r="N56" i="34"/>
  <c r="M56" i="34"/>
  <c r="N54" i="34"/>
  <c r="M54" i="34"/>
  <c r="N53" i="34"/>
  <c r="M53" i="34"/>
  <c r="N52" i="34"/>
  <c r="M52" i="34"/>
  <c r="N50" i="34"/>
  <c r="M50" i="34"/>
  <c r="N49" i="34"/>
  <c r="M49" i="34"/>
  <c r="N48" i="34"/>
  <c r="M48" i="34"/>
  <c r="N46" i="34"/>
  <c r="M46" i="34"/>
  <c r="N45" i="34"/>
  <c r="M45" i="34"/>
  <c r="N44" i="34"/>
  <c r="M44" i="34"/>
  <c r="N42" i="34"/>
  <c r="M42" i="34"/>
  <c r="N41" i="34"/>
  <c r="M41" i="34"/>
  <c r="N40" i="34"/>
  <c r="M40" i="34"/>
  <c r="N38" i="34"/>
  <c r="M38" i="34"/>
  <c r="N37" i="34"/>
  <c r="M37" i="34"/>
  <c r="N36" i="34"/>
  <c r="M36" i="34"/>
  <c r="N34" i="34"/>
  <c r="M34" i="34"/>
  <c r="N33" i="34"/>
  <c r="M33" i="34"/>
  <c r="N32" i="34"/>
  <c r="M32" i="34"/>
  <c r="N30" i="34"/>
  <c r="M30" i="34"/>
  <c r="N29" i="34"/>
  <c r="M29" i="34"/>
  <c r="N28" i="34"/>
  <c r="M28" i="34"/>
  <c r="N26" i="34"/>
  <c r="M26" i="34"/>
  <c r="N25" i="34"/>
  <c r="M25" i="34"/>
  <c r="N24" i="34"/>
  <c r="M24" i="34"/>
  <c r="N22" i="34"/>
  <c r="M22" i="34"/>
  <c r="N21" i="34"/>
  <c r="M21" i="34"/>
  <c r="N20" i="34"/>
  <c r="M20" i="34"/>
  <c r="N18" i="34"/>
  <c r="M18" i="34"/>
  <c r="N17" i="34"/>
  <c r="M17" i="34"/>
  <c r="N16" i="34"/>
  <c r="M16" i="34"/>
  <c r="N14" i="34"/>
  <c r="M14" i="34"/>
  <c r="N13" i="34"/>
  <c r="M13" i="34"/>
  <c r="N12" i="34"/>
  <c r="M12" i="34"/>
  <c r="N10" i="34"/>
  <c r="M10" i="34"/>
  <c r="N9" i="34"/>
  <c r="M9" i="34"/>
  <c r="N8" i="34"/>
  <c r="M8" i="34"/>
  <c r="G126" i="34"/>
  <c r="F126" i="34"/>
  <c r="G125" i="34"/>
  <c r="F125" i="34"/>
  <c r="G124" i="34"/>
  <c r="F124" i="34"/>
  <c r="G122" i="34"/>
  <c r="F122" i="34"/>
  <c r="G121" i="34"/>
  <c r="F121" i="34"/>
  <c r="G120" i="34"/>
  <c r="F120" i="34"/>
  <c r="G118" i="34"/>
  <c r="F118" i="34"/>
  <c r="G117" i="34"/>
  <c r="F117" i="34"/>
  <c r="G116" i="34"/>
  <c r="F116" i="34"/>
  <c r="G114" i="34"/>
  <c r="F114" i="34"/>
  <c r="G113" i="34"/>
  <c r="F113" i="34"/>
  <c r="G112" i="34"/>
  <c r="F112" i="34"/>
  <c r="G110" i="34"/>
  <c r="F110" i="34"/>
  <c r="G109" i="34"/>
  <c r="F109" i="34"/>
  <c r="G108" i="34"/>
  <c r="F108" i="34"/>
  <c r="G106" i="34"/>
  <c r="F106" i="34"/>
  <c r="G105" i="34"/>
  <c r="F105" i="34"/>
  <c r="G104" i="34"/>
  <c r="F104" i="34"/>
  <c r="G102" i="34"/>
  <c r="F102" i="34"/>
  <c r="G101" i="34"/>
  <c r="F101" i="34"/>
  <c r="G100" i="34"/>
  <c r="F100" i="34"/>
  <c r="G98" i="34"/>
  <c r="F98" i="34"/>
  <c r="G97" i="34"/>
  <c r="F97" i="34"/>
  <c r="G96" i="34"/>
  <c r="F96" i="34"/>
  <c r="G94" i="34"/>
  <c r="F94" i="34"/>
  <c r="G93" i="34"/>
  <c r="F93" i="34"/>
  <c r="G92" i="34"/>
  <c r="F92" i="34"/>
  <c r="G90" i="34"/>
  <c r="F90" i="34"/>
  <c r="G89" i="34"/>
  <c r="F89" i="34"/>
  <c r="G88" i="34"/>
  <c r="F88" i="34"/>
  <c r="G86" i="34"/>
  <c r="F86" i="34"/>
  <c r="G85" i="34"/>
  <c r="F85" i="34"/>
  <c r="G84" i="34"/>
  <c r="F84" i="34"/>
  <c r="G82" i="34"/>
  <c r="F82" i="34"/>
  <c r="G81" i="34"/>
  <c r="F81" i="34"/>
  <c r="G80" i="34"/>
  <c r="F80" i="34"/>
  <c r="G78" i="34"/>
  <c r="F78" i="34"/>
  <c r="G77" i="34"/>
  <c r="F77" i="34"/>
  <c r="G76" i="34"/>
  <c r="F76" i="34"/>
  <c r="G74" i="34"/>
  <c r="F74" i="34"/>
  <c r="G73" i="34"/>
  <c r="F73" i="34"/>
  <c r="G72" i="34"/>
  <c r="F72" i="34"/>
  <c r="G70" i="34"/>
  <c r="F70" i="34"/>
  <c r="G69" i="34"/>
  <c r="F69" i="34"/>
  <c r="G68" i="34"/>
  <c r="F68" i="34"/>
  <c r="G66" i="34"/>
  <c r="F66" i="34"/>
  <c r="G65" i="34"/>
  <c r="F65" i="34"/>
  <c r="G64" i="34"/>
  <c r="F64" i="34"/>
  <c r="G62" i="34"/>
  <c r="F62" i="34"/>
  <c r="G61" i="34"/>
  <c r="F61" i="34"/>
  <c r="G60" i="34"/>
  <c r="F60" i="34"/>
  <c r="G58" i="34"/>
  <c r="F58" i="34"/>
  <c r="G57" i="34"/>
  <c r="F57" i="34"/>
  <c r="G56" i="34"/>
  <c r="F56" i="34"/>
  <c r="G54" i="34"/>
  <c r="F54" i="34"/>
  <c r="G53" i="34"/>
  <c r="F53" i="34"/>
  <c r="G52" i="34"/>
  <c r="F52" i="34"/>
  <c r="G50" i="34"/>
  <c r="F50" i="34"/>
  <c r="G49" i="34"/>
  <c r="F49" i="34"/>
  <c r="G48" i="34"/>
  <c r="F48" i="34"/>
  <c r="G46" i="34"/>
  <c r="F46" i="34"/>
  <c r="G45" i="34"/>
  <c r="F45" i="34"/>
  <c r="G44" i="34"/>
  <c r="F44" i="34"/>
  <c r="G42" i="34"/>
  <c r="F42" i="34"/>
  <c r="G41" i="34"/>
  <c r="F41" i="34"/>
  <c r="G40" i="34"/>
  <c r="F40" i="34"/>
  <c r="G38" i="34"/>
  <c r="F38" i="34"/>
  <c r="G37" i="34"/>
  <c r="F37" i="34"/>
  <c r="G36" i="34"/>
  <c r="F36" i="34"/>
  <c r="G34" i="34"/>
  <c r="F34" i="34"/>
  <c r="G33" i="34"/>
  <c r="F33" i="34"/>
  <c r="G32" i="34"/>
  <c r="F32" i="34"/>
  <c r="G30" i="34"/>
  <c r="F30" i="34"/>
  <c r="G29" i="34"/>
  <c r="F29" i="34"/>
  <c r="G28" i="34"/>
  <c r="F28" i="34"/>
  <c r="G26" i="34"/>
  <c r="F26" i="34"/>
  <c r="G25" i="34"/>
  <c r="F25" i="34"/>
  <c r="G24" i="34"/>
  <c r="F24" i="34"/>
  <c r="G22" i="34"/>
  <c r="F22" i="34"/>
  <c r="G21" i="34"/>
  <c r="F21" i="34"/>
  <c r="G20" i="34"/>
  <c r="F20" i="34"/>
  <c r="G18" i="34"/>
  <c r="F18" i="34"/>
  <c r="G17" i="34"/>
  <c r="F17" i="34"/>
  <c r="G16" i="34"/>
  <c r="F16" i="34"/>
  <c r="G14" i="34"/>
  <c r="F14" i="34"/>
  <c r="G13" i="34"/>
  <c r="F13" i="34"/>
  <c r="G12" i="34"/>
  <c r="F12" i="34"/>
  <c r="G10" i="34"/>
  <c r="F10" i="34"/>
  <c r="G9" i="34"/>
  <c r="F9" i="34"/>
  <c r="G8" i="34"/>
  <c r="F8" i="34"/>
  <c r="L126" i="33"/>
  <c r="K126" i="33"/>
  <c r="L125" i="33"/>
  <c r="K125" i="33"/>
  <c r="L124" i="33"/>
  <c r="K124" i="33"/>
  <c r="L122" i="33"/>
  <c r="K122" i="33"/>
  <c r="L121" i="33"/>
  <c r="K121" i="33"/>
  <c r="L120" i="33"/>
  <c r="K120" i="33"/>
  <c r="L118" i="33"/>
  <c r="K118" i="33"/>
  <c r="L117" i="33"/>
  <c r="K117" i="33"/>
  <c r="L116" i="33"/>
  <c r="K116" i="33"/>
  <c r="L114" i="33"/>
  <c r="K114" i="33"/>
  <c r="L113" i="33"/>
  <c r="K113" i="33"/>
  <c r="L112" i="33"/>
  <c r="K112" i="33"/>
  <c r="L110" i="33"/>
  <c r="K110" i="33"/>
  <c r="L109" i="33"/>
  <c r="K109" i="33"/>
  <c r="L108" i="33"/>
  <c r="K108" i="33"/>
  <c r="L106" i="33"/>
  <c r="K106" i="33"/>
  <c r="L105" i="33"/>
  <c r="K105" i="33"/>
  <c r="L104" i="33"/>
  <c r="K104" i="33"/>
  <c r="L102" i="33"/>
  <c r="K102" i="33"/>
  <c r="L101" i="33"/>
  <c r="K101" i="33"/>
  <c r="L100" i="33"/>
  <c r="K100" i="33"/>
  <c r="L98" i="33"/>
  <c r="K98" i="33"/>
  <c r="L97" i="33"/>
  <c r="K97" i="33"/>
  <c r="L96" i="33"/>
  <c r="K96" i="33"/>
  <c r="L94" i="33"/>
  <c r="K94" i="33"/>
  <c r="L93" i="33"/>
  <c r="K93" i="33"/>
  <c r="L92" i="33"/>
  <c r="K92" i="33"/>
  <c r="L90" i="33"/>
  <c r="K90" i="33"/>
  <c r="L89" i="33"/>
  <c r="K89" i="33"/>
  <c r="L88" i="33"/>
  <c r="K88" i="33"/>
  <c r="L86" i="33"/>
  <c r="K86" i="33"/>
  <c r="L85" i="33"/>
  <c r="K85" i="33"/>
  <c r="L84" i="33"/>
  <c r="K84" i="33"/>
  <c r="L82" i="33"/>
  <c r="K82" i="33"/>
  <c r="L81" i="33"/>
  <c r="K81" i="33"/>
  <c r="L80" i="33"/>
  <c r="K80" i="33"/>
  <c r="L78" i="33"/>
  <c r="K78" i="33"/>
  <c r="L77" i="33"/>
  <c r="K77" i="33"/>
  <c r="L76" i="33"/>
  <c r="K76" i="33"/>
  <c r="L74" i="33"/>
  <c r="K74" i="33"/>
  <c r="L73" i="33"/>
  <c r="K73" i="33"/>
  <c r="L72" i="33"/>
  <c r="K72" i="33"/>
  <c r="L70" i="33"/>
  <c r="K70" i="33"/>
  <c r="L69" i="33"/>
  <c r="K69" i="33"/>
  <c r="L68" i="33"/>
  <c r="K68" i="33"/>
  <c r="L66" i="33"/>
  <c r="K66" i="33"/>
  <c r="L65" i="33"/>
  <c r="K65" i="33"/>
  <c r="L64" i="33"/>
  <c r="K64" i="33"/>
  <c r="L62" i="33"/>
  <c r="K62" i="33"/>
  <c r="L61" i="33"/>
  <c r="K61" i="33"/>
  <c r="L60" i="33"/>
  <c r="K60" i="33"/>
  <c r="L58" i="33"/>
  <c r="K58" i="33"/>
  <c r="L57" i="33"/>
  <c r="K57" i="33"/>
  <c r="L56" i="33"/>
  <c r="K56" i="33"/>
  <c r="L54" i="33"/>
  <c r="K54" i="33"/>
  <c r="L53" i="33"/>
  <c r="K53" i="33"/>
  <c r="L52" i="33"/>
  <c r="K52" i="33"/>
  <c r="L50" i="33"/>
  <c r="K50" i="33"/>
  <c r="L49" i="33"/>
  <c r="K49" i="33"/>
  <c r="L48" i="33"/>
  <c r="K48" i="33"/>
  <c r="L46" i="33"/>
  <c r="K46" i="33"/>
  <c r="L45" i="33"/>
  <c r="K45" i="33"/>
  <c r="L44" i="33"/>
  <c r="K44" i="33"/>
  <c r="L42" i="33"/>
  <c r="K42" i="33"/>
  <c r="L41" i="33"/>
  <c r="K41" i="33"/>
  <c r="L40" i="33"/>
  <c r="K40" i="33"/>
  <c r="L38" i="33"/>
  <c r="K38" i="33"/>
  <c r="L37" i="33"/>
  <c r="K37" i="33"/>
  <c r="L36" i="33"/>
  <c r="K36" i="33"/>
  <c r="L34" i="33"/>
  <c r="K34" i="33"/>
  <c r="L33" i="33"/>
  <c r="K33" i="33"/>
  <c r="L32" i="33"/>
  <c r="K32" i="33"/>
  <c r="L30" i="33"/>
  <c r="K30" i="33"/>
  <c r="L29" i="33"/>
  <c r="K29" i="33"/>
  <c r="L28" i="33"/>
  <c r="K28" i="33"/>
  <c r="L26" i="33"/>
  <c r="K26" i="33"/>
  <c r="L25" i="33"/>
  <c r="K25" i="33"/>
  <c r="L24" i="33"/>
  <c r="K24" i="33"/>
  <c r="L22" i="33"/>
  <c r="K22" i="33"/>
  <c r="L21" i="33"/>
  <c r="K21" i="33"/>
  <c r="L20" i="33"/>
  <c r="K20" i="33"/>
  <c r="L18" i="33"/>
  <c r="K18" i="33"/>
  <c r="L17" i="33"/>
  <c r="K17" i="33"/>
  <c r="L16" i="33"/>
  <c r="K16" i="33"/>
  <c r="L14" i="33"/>
  <c r="K14" i="33"/>
  <c r="L13" i="33"/>
  <c r="K13" i="33"/>
  <c r="L12" i="33"/>
  <c r="K12" i="33"/>
  <c r="L10" i="33"/>
  <c r="K10" i="33"/>
  <c r="L9" i="33"/>
  <c r="K9" i="33"/>
  <c r="L8" i="33"/>
  <c r="K8" i="33"/>
  <c r="G126" i="33"/>
  <c r="F126" i="33"/>
  <c r="G125" i="33"/>
  <c r="F125" i="33"/>
  <c r="G124" i="33"/>
  <c r="F124" i="33"/>
  <c r="G122" i="33"/>
  <c r="F122" i="33"/>
  <c r="G121" i="33"/>
  <c r="F121" i="33"/>
  <c r="G120" i="33"/>
  <c r="F120" i="33"/>
  <c r="G118" i="33"/>
  <c r="F118" i="33"/>
  <c r="G117" i="33"/>
  <c r="F117" i="33"/>
  <c r="G116" i="33"/>
  <c r="F116" i="33"/>
  <c r="G114" i="33"/>
  <c r="F114" i="33"/>
  <c r="G113" i="33"/>
  <c r="F113" i="33"/>
  <c r="G112" i="33"/>
  <c r="F112" i="33"/>
  <c r="G110" i="33"/>
  <c r="F110" i="33"/>
  <c r="G109" i="33"/>
  <c r="F109" i="33"/>
  <c r="G108" i="33"/>
  <c r="F108" i="33"/>
  <c r="G106" i="33"/>
  <c r="F106" i="33"/>
  <c r="G105" i="33"/>
  <c r="F105" i="33"/>
  <c r="G104" i="33"/>
  <c r="F104" i="33"/>
  <c r="G102" i="33"/>
  <c r="F102" i="33"/>
  <c r="G101" i="33"/>
  <c r="F101" i="33"/>
  <c r="G100" i="33"/>
  <c r="F100" i="33"/>
  <c r="G98" i="33"/>
  <c r="F98" i="33"/>
  <c r="G97" i="33"/>
  <c r="F97" i="33"/>
  <c r="G96" i="33"/>
  <c r="F96" i="33"/>
  <c r="G94" i="33"/>
  <c r="F94" i="33"/>
  <c r="G93" i="33"/>
  <c r="F93" i="33"/>
  <c r="G92" i="33"/>
  <c r="F92" i="33"/>
  <c r="G90" i="33"/>
  <c r="F90" i="33"/>
  <c r="G89" i="33"/>
  <c r="F89" i="33"/>
  <c r="G88" i="33"/>
  <c r="F88" i="33"/>
  <c r="G86" i="33"/>
  <c r="F86" i="33"/>
  <c r="G85" i="33"/>
  <c r="F85" i="33"/>
  <c r="G84" i="33"/>
  <c r="F84" i="33"/>
  <c r="G82" i="33"/>
  <c r="F82" i="33"/>
  <c r="G81" i="33"/>
  <c r="F81" i="33"/>
  <c r="G80" i="33"/>
  <c r="F80" i="33"/>
  <c r="G78" i="33"/>
  <c r="F78" i="33"/>
  <c r="G77" i="33"/>
  <c r="F77" i="33"/>
  <c r="G76" i="33"/>
  <c r="F76" i="33"/>
  <c r="G74" i="33"/>
  <c r="F74" i="33"/>
  <c r="G73" i="33"/>
  <c r="F73" i="33"/>
  <c r="G72" i="33"/>
  <c r="F72" i="33"/>
  <c r="G70" i="33"/>
  <c r="F70" i="33"/>
  <c r="G69" i="33"/>
  <c r="F69" i="33"/>
  <c r="G68" i="33"/>
  <c r="F68" i="33"/>
  <c r="G66" i="33"/>
  <c r="F66" i="33"/>
  <c r="G65" i="33"/>
  <c r="F65" i="33"/>
  <c r="G64" i="33"/>
  <c r="F64" i="33"/>
  <c r="G62" i="33"/>
  <c r="F62" i="33"/>
  <c r="G61" i="33"/>
  <c r="F61" i="33"/>
  <c r="G60" i="33"/>
  <c r="F60" i="33"/>
  <c r="G58" i="33"/>
  <c r="F58" i="33"/>
  <c r="G57" i="33"/>
  <c r="F57" i="33"/>
  <c r="G56" i="33"/>
  <c r="F56" i="33"/>
  <c r="G54" i="33"/>
  <c r="F54" i="33"/>
  <c r="G53" i="33"/>
  <c r="F53" i="33"/>
  <c r="G52" i="33"/>
  <c r="F52" i="33"/>
  <c r="G50" i="33"/>
  <c r="F50" i="33"/>
  <c r="G49" i="33"/>
  <c r="F49" i="33"/>
  <c r="G48" i="33"/>
  <c r="F48" i="33"/>
  <c r="G46" i="33"/>
  <c r="F46" i="33"/>
  <c r="G45" i="33"/>
  <c r="F45" i="33"/>
  <c r="G44" i="33"/>
  <c r="F44" i="33"/>
  <c r="G42" i="33"/>
  <c r="F42" i="33"/>
  <c r="G41" i="33"/>
  <c r="F41" i="33"/>
  <c r="G40" i="33"/>
  <c r="F40" i="33"/>
  <c r="G38" i="33"/>
  <c r="F38" i="33"/>
  <c r="G37" i="33"/>
  <c r="F37" i="33"/>
  <c r="G36" i="33"/>
  <c r="F36" i="33"/>
  <c r="G34" i="33"/>
  <c r="F34" i="33"/>
  <c r="G33" i="33"/>
  <c r="F33" i="33"/>
  <c r="G32" i="33"/>
  <c r="F32" i="33"/>
  <c r="G30" i="33"/>
  <c r="F30" i="33"/>
  <c r="G29" i="33"/>
  <c r="F29" i="33"/>
  <c r="G28" i="33"/>
  <c r="F28" i="33"/>
  <c r="G26" i="33"/>
  <c r="F26" i="33"/>
  <c r="G25" i="33"/>
  <c r="F25" i="33"/>
  <c r="G24" i="33"/>
  <c r="F24" i="33"/>
  <c r="G22" i="33"/>
  <c r="F22" i="33"/>
  <c r="G21" i="33"/>
  <c r="F21" i="33"/>
  <c r="G20" i="33"/>
  <c r="F20" i="33"/>
  <c r="G18" i="33"/>
  <c r="F18" i="33"/>
  <c r="G17" i="33"/>
  <c r="F17" i="33"/>
  <c r="G16" i="33"/>
  <c r="F16" i="33"/>
  <c r="G14" i="33"/>
  <c r="F14" i="33"/>
  <c r="G13" i="33"/>
  <c r="F13" i="33"/>
  <c r="G12" i="33"/>
  <c r="F12" i="33"/>
  <c r="G10" i="33"/>
  <c r="F10" i="33"/>
  <c r="G9" i="33"/>
  <c r="F9" i="33"/>
  <c r="G8" i="33"/>
  <c r="F8" i="33"/>
  <c r="N15" i="47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18" i="30"/>
  <c r="N8" i="30"/>
  <c r="M8" i="30"/>
  <c r="L9" i="13"/>
  <c r="K9" i="13"/>
  <c r="C90" i="52" l="1"/>
  <c r="C94" i="52" s="1"/>
  <c r="C162" i="52"/>
  <c r="C166" i="52" s="1"/>
  <c r="I372" i="52"/>
  <c r="L440" i="52"/>
  <c r="L445" i="52" s="1"/>
  <c r="C445" i="52"/>
  <c r="L451" i="52"/>
  <c r="L456" i="52" s="1"/>
  <c r="C456" i="52"/>
  <c r="L238" i="52"/>
  <c r="C234" i="52"/>
  <c r="C238" i="52" s="1"/>
  <c r="C297" i="52"/>
  <c r="C301" i="52" s="1"/>
  <c r="C171" i="52"/>
  <c r="C175" i="52" s="1"/>
  <c r="C390" i="52"/>
  <c r="C423" i="52"/>
  <c r="L418" i="52"/>
  <c r="L423" i="52" s="1"/>
  <c r="C99" i="52"/>
  <c r="C103" i="52" s="1"/>
  <c r="C288" i="52"/>
  <c r="C292" i="52" s="1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I126" i="34"/>
  <c r="J126" i="34" s="1"/>
  <c r="C126" i="34"/>
  <c r="B126" i="34"/>
  <c r="AM125" i="34"/>
  <c r="AN125" i="34" s="1"/>
  <c r="Z125" i="34"/>
  <c r="AJ125" i="34" s="1"/>
  <c r="AL125" i="34" s="1"/>
  <c r="O125" i="34"/>
  <c r="S125" i="34" s="1"/>
  <c r="I125" i="34"/>
  <c r="J125" i="34" s="1"/>
  <c r="C125" i="34"/>
  <c r="B125" i="34"/>
  <c r="AM124" i="34"/>
  <c r="AN124" i="34" s="1"/>
  <c r="Z124" i="34"/>
  <c r="O124" i="34"/>
  <c r="S124" i="34" s="1"/>
  <c r="I124" i="34"/>
  <c r="J124" i="34" s="1"/>
  <c r="C124" i="34"/>
  <c r="B124" i="34"/>
  <c r="AM122" i="34"/>
  <c r="AN122" i="34" s="1"/>
  <c r="Z122" i="34"/>
  <c r="AB122" i="34" s="1"/>
  <c r="AC122" i="34" s="1"/>
  <c r="O122" i="34"/>
  <c r="I122" i="34"/>
  <c r="J122" i="34" s="1"/>
  <c r="C122" i="34"/>
  <c r="B122" i="34"/>
  <c r="AM121" i="34"/>
  <c r="AN121" i="34" s="1"/>
  <c r="Z121" i="34"/>
  <c r="O121" i="34"/>
  <c r="S121" i="34" s="1"/>
  <c r="I121" i="34"/>
  <c r="J121" i="34" s="1"/>
  <c r="C121" i="34"/>
  <c r="B121" i="34"/>
  <c r="AM120" i="34"/>
  <c r="AN120" i="34" s="1"/>
  <c r="Z120" i="34"/>
  <c r="AJ120" i="34" s="1"/>
  <c r="O120" i="34"/>
  <c r="Q120" i="34" s="1"/>
  <c r="I120" i="34"/>
  <c r="J120" i="34" s="1"/>
  <c r="C120" i="34"/>
  <c r="B120" i="34"/>
  <c r="AM118" i="34"/>
  <c r="AN118" i="34" s="1"/>
  <c r="Z118" i="34"/>
  <c r="AB118" i="34" s="1"/>
  <c r="O118" i="34"/>
  <c r="S118" i="34" s="1"/>
  <c r="I118" i="34"/>
  <c r="J118" i="34" s="1"/>
  <c r="C118" i="34"/>
  <c r="B118" i="34"/>
  <c r="AM117" i="34"/>
  <c r="AN117" i="34" s="1"/>
  <c r="Z117" i="34"/>
  <c r="AF117" i="34" s="1"/>
  <c r="AG117" i="34" s="1"/>
  <c r="O117" i="34"/>
  <c r="S117" i="34" s="1"/>
  <c r="I117" i="34"/>
  <c r="J117" i="34" s="1"/>
  <c r="C117" i="34"/>
  <c r="B117" i="34"/>
  <c r="AM116" i="34"/>
  <c r="AN116" i="34" s="1"/>
  <c r="Z116" i="34"/>
  <c r="AJ116" i="34" s="1"/>
  <c r="AL116" i="34" s="1"/>
  <c r="O116" i="34"/>
  <c r="S116" i="34" s="1"/>
  <c r="I116" i="34"/>
  <c r="J116" i="34" s="1"/>
  <c r="C116" i="34"/>
  <c r="B116" i="34"/>
  <c r="AM114" i="34"/>
  <c r="AN114" i="34" s="1"/>
  <c r="Z114" i="34"/>
  <c r="O114" i="34"/>
  <c r="S114" i="34" s="1"/>
  <c r="I114" i="34"/>
  <c r="J114" i="34" s="1"/>
  <c r="C114" i="34"/>
  <c r="B114" i="34"/>
  <c r="AM113" i="34"/>
  <c r="AN113" i="34" s="1"/>
  <c r="Z113" i="34"/>
  <c r="AF113" i="34" s="1"/>
  <c r="O113" i="34"/>
  <c r="I113" i="34"/>
  <c r="J113" i="34" s="1"/>
  <c r="C113" i="34"/>
  <c r="B113" i="34"/>
  <c r="AM112" i="34"/>
  <c r="AN112" i="34" s="1"/>
  <c r="Z112" i="34"/>
  <c r="O112" i="34"/>
  <c r="Q112" i="34" s="1"/>
  <c r="I112" i="34"/>
  <c r="J112" i="34" s="1"/>
  <c r="C112" i="34"/>
  <c r="B112" i="34"/>
  <c r="AM110" i="34"/>
  <c r="AN110" i="34" s="1"/>
  <c r="Z110" i="34"/>
  <c r="AB110" i="34" s="1"/>
  <c r="AC110" i="34" s="1"/>
  <c r="O110" i="34"/>
  <c r="S110" i="34" s="1"/>
  <c r="I110" i="34"/>
  <c r="J110" i="34" s="1"/>
  <c r="C110" i="34"/>
  <c r="B110" i="34"/>
  <c r="AM109" i="34"/>
  <c r="AN109" i="34" s="1"/>
  <c r="Z109" i="34"/>
  <c r="AF109" i="34" s="1"/>
  <c r="O109" i="34"/>
  <c r="S109" i="34" s="1"/>
  <c r="I109" i="34"/>
  <c r="J109" i="34" s="1"/>
  <c r="C109" i="34"/>
  <c r="B109" i="34"/>
  <c r="AM108" i="34"/>
  <c r="AN108" i="34" s="1"/>
  <c r="Z108" i="34"/>
  <c r="O108" i="34"/>
  <c r="S108" i="34" s="1"/>
  <c r="I108" i="34"/>
  <c r="J108" i="34" s="1"/>
  <c r="C108" i="34"/>
  <c r="B108" i="34"/>
  <c r="AM106" i="34"/>
  <c r="AN106" i="34" s="1"/>
  <c r="Z106" i="34"/>
  <c r="AJ106" i="34" s="1"/>
  <c r="AK106" i="34" s="1"/>
  <c r="O106" i="34"/>
  <c r="Q106" i="34" s="1"/>
  <c r="I106" i="34"/>
  <c r="J106" i="34" s="1"/>
  <c r="C106" i="34"/>
  <c r="B106" i="34"/>
  <c r="AM105" i="34"/>
  <c r="AN105" i="34" s="1"/>
  <c r="Z105" i="34"/>
  <c r="AF105" i="34" s="1"/>
  <c r="O105" i="34"/>
  <c r="S105" i="34" s="1"/>
  <c r="I105" i="34"/>
  <c r="J105" i="34" s="1"/>
  <c r="C105" i="34"/>
  <c r="B105" i="34"/>
  <c r="AM104" i="34"/>
  <c r="AN104" i="34" s="1"/>
  <c r="Z104" i="34"/>
  <c r="AJ104" i="34" s="1"/>
  <c r="AK104" i="34" s="1"/>
  <c r="O104" i="34"/>
  <c r="I104" i="34"/>
  <c r="J104" i="34" s="1"/>
  <c r="C104" i="34"/>
  <c r="B104" i="34"/>
  <c r="AM102" i="34"/>
  <c r="AN102" i="34" s="1"/>
  <c r="Z102" i="34"/>
  <c r="AJ102" i="34" s="1"/>
  <c r="O102" i="34"/>
  <c r="S102" i="34" s="1"/>
  <c r="I102" i="34"/>
  <c r="J102" i="34" s="1"/>
  <c r="C102" i="34"/>
  <c r="B102" i="34"/>
  <c r="AM101" i="34"/>
  <c r="AN101" i="34" s="1"/>
  <c r="Z101" i="34"/>
  <c r="AF101" i="34" s="1"/>
  <c r="O101" i="34"/>
  <c r="Q101" i="34" s="1"/>
  <c r="I101" i="34"/>
  <c r="J101" i="34" s="1"/>
  <c r="C101" i="34"/>
  <c r="B101" i="34"/>
  <c r="AM100" i="34"/>
  <c r="AN100" i="34" s="1"/>
  <c r="Z100" i="34"/>
  <c r="AJ100" i="34" s="1"/>
  <c r="O100" i="34"/>
  <c r="S100" i="34" s="1"/>
  <c r="I100" i="34"/>
  <c r="J100" i="34" s="1"/>
  <c r="C100" i="34"/>
  <c r="B100" i="34"/>
  <c r="AM98" i="34"/>
  <c r="AN98" i="34" s="1"/>
  <c r="Z98" i="34"/>
  <c r="AB98" i="34" s="1"/>
  <c r="O98" i="34"/>
  <c r="S98" i="34" s="1"/>
  <c r="I98" i="34"/>
  <c r="J98" i="34" s="1"/>
  <c r="C98" i="34"/>
  <c r="B98" i="34"/>
  <c r="AM97" i="34"/>
  <c r="AN97" i="34" s="1"/>
  <c r="Z97" i="34"/>
  <c r="AB97" i="34" s="1"/>
  <c r="O97" i="34"/>
  <c r="S97" i="34" s="1"/>
  <c r="I97" i="34"/>
  <c r="J97" i="34" s="1"/>
  <c r="C97" i="34"/>
  <c r="B97" i="34"/>
  <c r="AM96" i="34"/>
  <c r="AN96" i="34" s="1"/>
  <c r="Z96" i="34"/>
  <c r="O96" i="34"/>
  <c r="S96" i="34" s="1"/>
  <c r="I96" i="34"/>
  <c r="J96" i="34" s="1"/>
  <c r="C96" i="34"/>
  <c r="B96" i="34"/>
  <c r="AM94" i="34"/>
  <c r="AN94" i="34" s="1"/>
  <c r="Z94" i="34"/>
  <c r="AB94" i="34" s="1"/>
  <c r="O94" i="34"/>
  <c r="I94" i="34"/>
  <c r="J94" i="34" s="1"/>
  <c r="C94" i="34"/>
  <c r="B94" i="34"/>
  <c r="AM93" i="34"/>
  <c r="AN93" i="34" s="1"/>
  <c r="Z93" i="34"/>
  <c r="O93" i="34"/>
  <c r="Q93" i="34" s="1"/>
  <c r="I93" i="34"/>
  <c r="J93" i="34" s="1"/>
  <c r="C93" i="34"/>
  <c r="B93" i="34"/>
  <c r="AM92" i="34"/>
  <c r="AN92" i="34" s="1"/>
  <c r="Z92" i="34"/>
  <c r="AF92" i="34" s="1"/>
  <c r="O92" i="34"/>
  <c r="I92" i="34"/>
  <c r="J92" i="34" s="1"/>
  <c r="C92" i="34"/>
  <c r="B92" i="34"/>
  <c r="AM90" i="34"/>
  <c r="AN90" i="34" s="1"/>
  <c r="Z90" i="34"/>
  <c r="AF90" i="34" s="1"/>
  <c r="O90" i="34"/>
  <c r="S90" i="34" s="1"/>
  <c r="I90" i="34"/>
  <c r="J90" i="34" s="1"/>
  <c r="C90" i="34"/>
  <c r="B90" i="34"/>
  <c r="AM89" i="34"/>
  <c r="AN89" i="34" s="1"/>
  <c r="Z89" i="34"/>
  <c r="O89" i="34"/>
  <c r="S89" i="34" s="1"/>
  <c r="I89" i="34"/>
  <c r="J89" i="34" s="1"/>
  <c r="C89" i="34"/>
  <c r="B89" i="34"/>
  <c r="AM88" i="34"/>
  <c r="AN88" i="34" s="1"/>
  <c r="Z88" i="34"/>
  <c r="AJ88" i="34" s="1"/>
  <c r="AL88" i="34" s="1"/>
  <c r="O88" i="34"/>
  <c r="S88" i="34" s="1"/>
  <c r="I88" i="34"/>
  <c r="J88" i="34" s="1"/>
  <c r="C88" i="34"/>
  <c r="B88" i="34"/>
  <c r="AM86" i="34"/>
  <c r="AN86" i="34" s="1"/>
  <c r="Z86" i="34"/>
  <c r="AJ86" i="34" s="1"/>
  <c r="O86" i="34"/>
  <c r="I86" i="34"/>
  <c r="J86" i="34" s="1"/>
  <c r="C86" i="34"/>
  <c r="B86" i="34"/>
  <c r="AM85" i="34"/>
  <c r="AN85" i="34" s="1"/>
  <c r="Z85" i="34"/>
  <c r="AJ85" i="34" s="1"/>
  <c r="AK85" i="34" s="1"/>
  <c r="O85" i="34"/>
  <c r="I85" i="34"/>
  <c r="J85" i="34" s="1"/>
  <c r="C85" i="34"/>
  <c r="B85" i="34"/>
  <c r="AM84" i="34"/>
  <c r="AN84" i="34" s="1"/>
  <c r="Z84" i="34"/>
  <c r="AB84" i="34" s="1"/>
  <c r="O84" i="34"/>
  <c r="Q84" i="34" s="1"/>
  <c r="I84" i="34"/>
  <c r="J84" i="34" s="1"/>
  <c r="C84" i="34"/>
  <c r="B84" i="34"/>
  <c r="AM82" i="34"/>
  <c r="AN82" i="34" s="1"/>
  <c r="Z82" i="34"/>
  <c r="AF82" i="34" s="1"/>
  <c r="O82" i="34"/>
  <c r="S82" i="34" s="1"/>
  <c r="I82" i="34"/>
  <c r="J82" i="34" s="1"/>
  <c r="C82" i="34"/>
  <c r="B82" i="34"/>
  <c r="AM81" i="34"/>
  <c r="AN81" i="34" s="1"/>
  <c r="Z81" i="34"/>
  <c r="AB81" i="34" s="1"/>
  <c r="AC81" i="34" s="1"/>
  <c r="AD81" i="34" s="1"/>
  <c r="O81" i="34"/>
  <c r="S81" i="34" s="1"/>
  <c r="I81" i="34"/>
  <c r="J81" i="34" s="1"/>
  <c r="C81" i="34"/>
  <c r="B81" i="34"/>
  <c r="AM80" i="34"/>
  <c r="AN80" i="34" s="1"/>
  <c r="Z80" i="34"/>
  <c r="AF80" i="34" s="1"/>
  <c r="AG80" i="34" s="1"/>
  <c r="O80" i="34"/>
  <c r="Q80" i="34" s="1"/>
  <c r="I80" i="34"/>
  <c r="J80" i="34" s="1"/>
  <c r="C80" i="34"/>
  <c r="B80" i="34"/>
  <c r="AM78" i="34"/>
  <c r="AN78" i="34" s="1"/>
  <c r="Z78" i="34"/>
  <c r="O78" i="34"/>
  <c r="S78" i="34" s="1"/>
  <c r="I78" i="34"/>
  <c r="J78" i="34" s="1"/>
  <c r="C78" i="34"/>
  <c r="B78" i="34"/>
  <c r="AM77" i="34"/>
  <c r="AN77" i="34" s="1"/>
  <c r="Z77" i="34"/>
  <c r="O77" i="34"/>
  <c r="S77" i="34" s="1"/>
  <c r="I77" i="34"/>
  <c r="J77" i="34" s="1"/>
  <c r="C77" i="34"/>
  <c r="B77" i="34"/>
  <c r="AM76" i="34"/>
  <c r="AN76" i="34" s="1"/>
  <c r="Z76" i="34"/>
  <c r="AF76" i="34" s="1"/>
  <c r="O76" i="34"/>
  <c r="I76" i="34"/>
  <c r="J76" i="34" s="1"/>
  <c r="C76" i="34"/>
  <c r="B76" i="34"/>
  <c r="AM74" i="34"/>
  <c r="AN74" i="34" s="1"/>
  <c r="Z74" i="34"/>
  <c r="AJ74" i="34" s="1"/>
  <c r="AK74" i="34" s="1"/>
  <c r="O74" i="34"/>
  <c r="Q74" i="34" s="1"/>
  <c r="I74" i="34"/>
  <c r="J74" i="34" s="1"/>
  <c r="C74" i="34"/>
  <c r="B74" i="34"/>
  <c r="AM73" i="34"/>
  <c r="AN73" i="34" s="1"/>
  <c r="Z73" i="34"/>
  <c r="O73" i="34"/>
  <c r="S73" i="34" s="1"/>
  <c r="I73" i="34"/>
  <c r="J73" i="34" s="1"/>
  <c r="C73" i="34"/>
  <c r="B73" i="34"/>
  <c r="AM72" i="34"/>
  <c r="AN72" i="34" s="1"/>
  <c r="Z72" i="34"/>
  <c r="AB72" i="34" s="1"/>
  <c r="O72" i="34"/>
  <c r="I72" i="34"/>
  <c r="J72" i="34" s="1"/>
  <c r="C72" i="34"/>
  <c r="B72" i="34"/>
  <c r="AM70" i="34"/>
  <c r="AN70" i="34" s="1"/>
  <c r="Z70" i="34"/>
  <c r="O70" i="34"/>
  <c r="S70" i="34" s="1"/>
  <c r="I70" i="34"/>
  <c r="J70" i="34" s="1"/>
  <c r="C70" i="34"/>
  <c r="B70" i="34"/>
  <c r="AM69" i="34"/>
  <c r="AN69" i="34" s="1"/>
  <c r="Z69" i="34"/>
  <c r="AJ69" i="34" s="1"/>
  <c r="AK69" i="34" s="1"/>
  <c r="O69" i="34"/>
  <c r="S69" i="34" s="1"/>
  <c r="I69" i="34"/>
  <c r="J69" i="34" s="1"/>
  <c r="C69" i="34"/>
  <c r="B69" i="34"/>
  <c r="AM68" i="34"/>
  <c r="AN68" i="34" s="1"/>
  <c r="Z68" i="34"/>
  <c r="AB68" i="34" s="1"/>
  <c r="O68" i="34"/>
  <c r="Q68" i="34" s="1"/>
  <c r="I68" i="34"/>
  <c r="J68" i="34" s="1"/>
  <c r="C68" i="34"/>
  <c r="B68" i="34"/>
  <c r="AM66" i="34"/>
  <c r="AN66" i="34" s="1"/>
  <c r="Z66" i="34"/>
  <c r="O66" i="34"/>
  <c r="I66" i="34"/>
  <c r="J66" i="34" s="1"/>
  <c r="C66" i="34"/>
  <c r="B66" i="34"/>
  <c r="AM65" i="34"/>
  <c r="AN65" i="34" s="1"/>
  <c r="Z65" i="34"/>
  <c r="O65" i="34"/>
  <c r="Q65" i="34" s="1"/>
  <c r="I65" i="34"/>
  <c r="J65" i="34" s="1"/>
  <c r="C65" i="34"/>
  <c r="B65" i="34"/>
  <c r="AM64" i="34"/>
  <c r="AN64" i="34" s="1"/>
  <c r="Z64" i="34"/>
  <c r="AB64" i="34" s="1"/>
  <c r="O64" i="34"/>
  <c r="Q64" i="34" s="1"/>
  <c r="I64" i="34"/>
  <c r="J64" i="34" s="1"/>
  <c r="C64" i="34"/>
  <c r="B64" i="34"/>
  <c r="AM62" i="34"/>
  <c r="AN62" i="34" s="1"/>
  <c r="Z62" i="34"/>
  <c r="AF62" i="34" s="1"/>
  <c r="O62" i="34"/>
  <c r="Q62" i="34" s="1"/>
  <c r="I62" i="34"/>
  <c r="J62" i="34" s="1"/>
  <c r="C62" i="34"/>
  <c r="B62" i="34"/>
  <c r="AM61" i="34"/>
  <c r="AN61" i="34" s="1"/>
  <c r="Z61" i="34"/>
  <c r="AJ61" i="34" s="1"/>
  <c r="O61" i="34"/>
  <c r="S61" i="34" s="1"/>
  <c r="I61" i="34"/>
  <c r="J61" i="34" s="1"/>
  <c r="C61" i="34"/>
  <c r="B61" i="34"/>
  <c r="AM60" i="34"/>
  <c r="AN60" i="34" s="1"/>
  <c r="Z60" i="34"/>
  <c r="AJ60" i="34" s="1"/>
  <c r="AL60" i="34" s="1"/>
  <c r="O60" i="34"/>
  <c r="S60" i="34" s="1"/>
  <c r="I60" i="34"/>
  <c r="J60" i="34" s="1"/>
  <c r="C60" i="34"/>
  <c r="B60" i="34"/>
  <c r="AM58" i="34"/>
  <c r="AN58" i="34" s="1"/>
  <c r="Z58" i="34"/>
  <c r="O58" i="34"/>
  <c r="S58" i="34" s="1"/>
  <c r="I58" i="34"/>
  <c r="J58" i="34" s="1"/>
  <c r="C58" i="34"/>
  <c r="B58" i="34"/>
  <c r="AM57" i="34"/>
  <c r="AN57" i="34" s="1"/>
  <c r="Z57" i="34"/>
  <c r="O57" i="34"/>
  <c r="I57" i="34"/>
  <c r="J57" i="34" s="1"/>
  <c r="C57" i="34"/>
  <c r="B57" i="34"/>
  <c r="AM56" i="34"/>
  <c r="AN56" i="34" s="1"/>
  <c r="Z56" i="34"/>
  <c r="AB56" i="34" s="1"/>
  <c r="AC56" i="34" s="1"/>
  <c r="AD56" i="34" s="1"/>
  <c r="O56" i="34"/>
  <c r="I56" i="34"/>
  <c r="J56" i="34" s="1"/>
  <c r="C56" i="34"/>
  <c r="B56" i="34"/>
  <c r="AM54" i="34"/>
  <c r="AN54" i="34" s="1"/>
  <c r="Z54" i="34"/>
  <c r="O54" i="34"/>
  <c r="S54" i="34" s="1"/>
  <c r="I54" i="34"/>
  <c r="J54" i="34" s="1"/>
  <c r="C54" i="34"/>
  <c r="B54" i="34"/>
  <c r="AM53" i="34"/>
  <c r="AN53" i="34" s="1"/>
  <c r="Z53" i="34"/>
  <c r="AB53" i="34" s="1"/>
  <c r="O53" i="34"/>
  <c r="Q53" i="34" s="1"/>
  <c r="I53" i="34"/>
  <c r="J53" i="34" s="1"/>
  <c r="C53" i="34"/>
  <c r="B53" i="34"/>
  <c r="AM52" i="34"/>
  <c r="AN52" i="34" s="1"/>
  <c r="Z52" i="34"/>
  <c r="AB52" i="34" s="1"/>
  <c r="AC52" i="34" s="1"/>
  <c r="O52" i="34"/>
  <c r="Q52" i="34" s="1"/>
  <c r="I52" i="34"/>
  <c r="J52" i="34" s="1"/>
  <c r="C52" i="34"/>
  <c r="B52" i="34"/>
  <c r="AM50" i="34"/>
  <c r="AN50" i="34" s="1"/>
  <c r="Z50" i="34"/>
  <c r="AB50" i="34" s="1"/>
  <c r="O50" i="34"/>
  <c r="S50" i="34" s="1"/>
  <c r="I50" i="34"/>
  <c r="J50" i="34" s="1"/>
  <c r="C50" i="34"/>
  <c r="B50" i="34"/>
  <c r="AM49" i="34"/>
  <c r="AN49" i="34" s="1"/>
  <c r="Z49" i="34"/>
  <c r="AB49" i="34" s="1"/>
  <c r="O49" i="34"/>
  <c r="S49" i="34" s="1"/>
  <c r="I49" i="34"/>
  <c r="J49" i="34" s="1"/>
  <c r="C49" i="34"/>
  <c r="B49" i="34"/>
  <c r="AM48" i="34"/>
  <c r="AN48" i="34" s="1"/>
  <c r="Z48" i="34"/>
  <c r="AJ48" i="34" s="1"/>
  <c r="AK48" i="34" s="1"/>
  <c r="O48" i="34"/>
  <c r="I48" i="34"/>
  <c r="J48" i="34" s="1"/>
  <c r="C48" i="34"/>
  <c r="B48" i="34"/>
  <c r="AM46" i="34"/>
  <c r="AN46" i="34" s="1"/>
  <c r="Z46" i="34"/>
  <c r="AB46" i="34" s="1"/>
  <c r="O46" i="34"/>
  <c r="I46" i="34"/>
  <c r="J46" i="34" s="1"/>
  <c r="C46" i="34"/>
  <c r="B46" i="34"/>
  <c r="AM45" i="34"/>
  <c r="AN45" i="34" s="1"/>
  <c r="Z45" i="34"/>
  <c r="AB45" i="34" s="1"/>
  <c r="O45" i="34"/>
  <c r="I45" i="34"/>
  <c r="J45" i="34" s="1"/>
  <c r="C45" i="34"/>
  <c r="B45" i="34"/>
  <c r="AM44" i="34"/>
  <c r="AN44" i="34" s="1"/>
  <c r="Z44" i="34"/>
  <c r="O44" i="34"/>
  <c r="S44" i="34" s="1"/>
  <c r="I44" i="34"/>
  <c r="J44" i="34" s="1"/>
  <c r="C44" i="34"/>
  <c r="B44" i="34"/>
  <c r="AM42" i="34"/>
  <c r="AN42" i="34" s="1"/>
  <c r="Z42" i="34"/>
  <c r="AB42" i="34" s="1"/>
  <c r="AC42" i="34" s="1"/>
  <c r="O42" i="34"/>
  <c r="S42" i="34" s="1"/>
  <c r="I42" i="34"/>
  <c r="J42" i="34" s="1"/>
  <c r="C42" i="34"/>
  <c r="B42" i="34"/>
  <c r="AM41" i="34"/>
  <c r="AN41" i="34" s="1"/>
  <c r="Z41" i="34"/>
  <c r="O41" i="34"/>
  <c r="Q41" i="34" s="1"/>
  <c r="I41" i="34"/>
  <c r="J41" i="34" s="1"/>
  <c r="C41" i="34"/>
  <c r="B41" i="34"/>
  <c r="AM40" i="34"/>
  <c r="AN40" i="34" s="1"/>
  <c r="Z40" i="34"/>
  <c r="AB40" i="34" s="1"/>
  <c r="O40" i="34"/>
  <c r="I40" i="34"/>
  <c r="J40" i="34" s="1"/>
  <c r="C40" i="34"/>
  <c r="B40" i="34"/>
  <c r="AM38" i="34"/>
  <c r="AN38" i="34" s="1"/>
  <c r="Z38" i="34"/>
  <c r="AJ38" i="34" s="1"/>
  <c r="O38" i="34"/>
  <c r="I38" i="34"/>
  <c r="J38" i="34" s="1"/>
  <c r="C38" i="34"/>
  <c r="B38" i="34"/>
  <c r="AM37" i="34"/>
  <c r="AN37" i="34" s="1"/>
  <c r="Z37" i="34"/>
  <c r="AF37" i="34" s="1"/>
  <c r="AG37" i="34" s="1"/>
  <c r="O37" i="34"/>
  <c r="Q37" i="34" s="1"/>
  <c r="I37" i="34"/>
  <c r="J37" i="34" s="1"/>
  <c r="C37" i="34"/>
  <c r="B37" i="34"/>
  <c r="AM36" i="34"/>
  <c r="AN36" i="34" s="1"/>
  <c r="Z36" i="34"/>
  <c r="AB36" i="34" s="1"/>
  <c r="AC36" i="34" s="1"/>
  <c r="AD36" i="34" s="1"/>
  <c r="O36" i="34"/>
  <c r="I36" i="34"/>
  <c r="J36" i="34" s="1"/>
  <c r="C36" i="34"/>
  <c r="B36" i="34"/>
  <c r="AM34" i="34"/>
  <c r="AN34" i="34" s="1"/>
  <c r="Z34" i="34"/>
  <c r="AJ34" i="34" s="1"/>
  <c r="AL34" i="34" s="1"/>
  <c r="O34" i="34"/>
  <c r="Q34" i="34" s="1"/>
  <c r="I34" i="34"/>
  <c r="J34" i="34" s="1"/>
  <c r="C34" i="34"/>
  <c r="B34" i="34"/>
  <c r="AM33" i="34"/>
  <c r="AN33" i="34" s="1"/>
  <c r="Z33" i="34"/>
  <c r="AB33" i="34" s="1"/>
  <c r="AC33" i="34" s="1"/>
  <c r="AD33" i="34" s="1"/>
  <c r="O33" i="34"/>
  <c r="I33" i="34"/>
  <c r="J33" i="34" s="1"/>
  <c r="C33" i="34"/>
  <c r="B33" i="34"/>
  <c r="AM32" i="34"/>
  <c r="AN32" i="34" s="1"/>
  <c r="Z32" i="34"/>
  <c r="AJ32" i="34" s="1"/>
  <c r="AL32" i="34" s="1"/>
  <c r="O32" i="34"/>
  <c r="Q32" i="34" s="1"/>
  <c r="I32" i="34"/>
  <c r="J32" i="34" s="1"/>
  <c r="C32" i="34"/>
  <c r="B32" i="34"/>
  <c r="AM30" i="34"/>
  <c r="AN30" i="34" s="1"/>
  <c r="Z30" i="34"/>
  <c r="O30" i="34"/>
  <c r="S30" i="34" s="1"/>
  <c r="I30" i="34"/>
  <c r="J30" i="34" s="1"/>
  <c r="C30" i="34"/>
  <c r="B30" i="34"/>
  <c r="AM29" i="34"/>
  <c r="AN29" i="34" s="1"/>
  <c r="Z29" i="34"/>
  <c r="AJ29" i="34" s="1"/>
  <c r="O29" i="34"/>
  <c r="I29" i="34"/>
  <c r="J29" i="34" s="1"/>
  <c r="C29" i="34"/>
  <c r="B29" i="34"/>
  <c r="AM28" i="34"/>
  <c r="AN28" i="34" s="1"/>
  <c r="Z28" i="34"/>
  <c r="O28" i="34"/>
  <c r="S28" i="34" s="1"/>
  <c r="I28" i="34"/>
  <c r="J28" i="34" s="1"/>
  <c r="C28" i="34"/>
  <c r="B28" i="34"/>
  <c r="AM26" i="34"/>
  <c r="AN26" i="34" s="1"/>
  <c r="Z26" i="34"/>
  <c r="AF26" i="34" s="1"/>
  <c r="O26" i="34"/>
  <c r="I26" i="34"/>
  <c r="J26" i="34" s="1"/>
  <c r="C26" i="34"/>
  <c r="B26" i="34"/>
  <c r="AM25" i="34"/>
  <c r="AN25" i="34" s="1"/>
  <c r="Z25" i="34"/>
  <c r="AF25" i="34" s="1"/>
  <c r="O25" i="34"/>
  <c r="S25" i="34" s="1"/>
  <c r="I25" i="34"/>
  <c r="J25" i="34" s="1"/>
  <c r="C25" i="34"/>
  <c r="B25" i="34"/>
  <c r="AM24" i="34"/>
  <c r="AN24" i="34" s="1"/>
  <c r="Z24" i="34"/>
  <c r="O24" i="34"/>
  <c r="Q24" i="34" s="1"/>
  <c r="I24" i="34"/>
  <c r="J24" i="34" s="1"/>
  <c r="C24" i="34"/>
  <c r="B24" i="34"/>
  <c r="AM22" i="34"/>
  <c r="AN22" i="34" s="1"/>
  <c r="Z22" i="34"/>
  <c r="O22" i="34"/>
  <c r="S22" i="34" s="1"/>
  <c r="I22" i="34"/>
  <c r="J22" i="34" s="1"/>
  <c r="C22" i="34"/>
  <c r="B22" i="34"/>
  <c r="AM21" i="34"/>
  <c r="AN21" i="34" s="1"/>
  <c r="Z21" i="34"/>
  <c r="O21" i="34"/>
  <c r="Q21" i="34" s="1"/>
  <c r="I21" i="34"/>
  <c r="J21" i="34" s="1"/>
  <c r="C21" i="34"/>
  <c r="B21" i="34"/>
  <c r="AM20" i="34"/>
  <c r="AN20" i="34" s="1"/>
  <c r="Z20" i="34"/>
  <c r="AJ20" i="34" s="1"/>
  <c r="O20" i="34"/>
  <c r="I20" i="34"/>
  <c r="J20" i="34" s="1"/>
  <c r="C20" i="34"/>
  <c r="B20" i="34"/>
  <c r="AM18" i="34"/>
  <c r="AN18" i="34" s="1"/>
  <c r="Z18" i="34"/>
  <c r="AJ18" i="34" s="1"/>
  <c r="O18" i="34"/>
  <c r="S18" i="34" s="1"/>
  <c r="I18" i="34"/>
  <c r="J18" i="34" s="1"/>
  <c r="C18" i="34"/>
  <c r="B18" i="34"/>
  <c r="AM17" i="34"/>
  <c r="AN17" i="34" s="1"/>
  <c r="Z17" i="34"/>
  <c r="AF17" i="34" s="1"/>
  <c r="AG17" i="34" s="1"/>
  <c r="O17" i="34"/>
  <c r="I17" i="34"/>
  <c r="J17" i="34" s="1"/>
  <c r="C17" i="34"/>
  <c r="B17" i="34"/>
  <c r="AM16" i="34"/>
  <c r="AN16" i="34" s="1"/>
  <c r="Z16" i="34"/>
  <c r="AB16" i="34" s="1"/>
  <c r="O16" i="34"/>
  <c r="S16" i="34" s="1"/>
  <c r="I16" i="34"/>
  <c r="J16" i="34" s="1"/>
  <c r="C16" i="34"/>
  <c r="B16" i="34"/>
  <c r="AM14" i="34"/>
  <c r="AN14" i="34" s="1"/>
  <c r="Z14" i="34"/>
  <c r="AJ14" i="34" s="1"/>
  <c r="AK14" i="34" s="1"/>
  <c r="O14" i="34"/>
  <c r="S14" i="34" s="1"/>
  <c r="I14" i="34"/>
  <c r="J14" i="34" s="1"/>
  <c r="C14" i="34"/>
  <c r="B14" i="34"/>
  <c r="AM13" i="34"/>
  <c r="AN13" i="34" s="1"/>
  <c r="Z13" i="34"/>
  <c r="AJ13" i="34" s="1"/>
  <c r="AL13" i="34" s="1"/>
  <c r="O13" i="34"/>
  <c r="S13" i="34" s="1"/>
  <c r="I13" i="34"/>
  <c r="J13" i="34" s="1"/>
  <c r="C13" i="34"/>
  <c r="B13" i="34"/>
  <c r="AM12" i="34"/>
  <c r="AN12" i="34" s="1"/>
  <c r="Z12" i="34"/>
  <c r="AF12" i="34" s="1"/>
  <c r="AG12" i="34" s="1"/>
  <c r="O12" i="34"/>
  <c r="S12" i="34" s="1"/>
  <c r="I12" i="34"/>
  <c r="J12" i="34" s="1"/>
  <c r="C12" i="34"/>
  <c r="B12" i="34"/>
  <c r="AM10" i="34"/>
  <c r="AN10" i="34" s="1"/>
  <c r="Z10" i="34"/>
  <c r="O10" i="34"/>
  <c r="I10" i="34"/>
  <c r="J10" i="34" s="1"/>
  <c r="C10" i="34"/>
  <c r="B10" i="34"/>
  <c r="AM9" i="34"/>
  <c r="AN9" i="34" s="1"/>
  <c r="Z9" i="34"/>
  <c r="AB9" i="34" s="1"/>
  <c r="O9" i="34"/>
  <c r="Q9" i="34" s="1"/>
  <c r="I9" i="34"/>
  <c r="J9" i="34" s="1"/>
  <c r="C9" i="34"/>
  <c r="B9" i="34"/>
  <c r="A125" i="34"/>
  <c r="A126" i="34"/>
  <c r="A124" i="34"/>
  <c r="A121" i="34"/>
  <c r="A122" i="34"/>
  <c r="A120" i="34"/>
  <c r="AF110" i="34" l="1"/>
  <c r="AJ40" i="34"/>
  <c r="AL40" i="34" s="1"/>
  <c r="AF106" i="34"/>
  <c r="AG106" i="34" s="1"/>
  <c r="AH106" i="34" s="1"/>
  <c r="AL106" i="34"/>
  <c r="AF74" i="34"/>
  <c r="AL74" i="34"/>
  <c r="AF33" i="34"/>
  <c r="AF81" i="34"/>
  <c r="AG81" i="34" s="1"/>
  <c r="AH81" i="34" s="1"/>
  <c r="AJ81" i="34"/>
  <c r="AL81" i="34" s="1"/>
  <c r="AK116" i="34"/>
  <c r="AJ82" i="34"/>
  <c r="AL82" i="34" s="1"/>
  <c r="AJ101" i="34"/>
  <c r="AK101" i="34" s="1"/>
  <c r="AF49" i="34"/>
  <c r="AG49" i="34" s="1"/>
  <c r="AH49" i="34" s="1"/>
  <c r="AJ76" i="34"/>
  <c r="AL76" i="34" s="1"/>
  <c r="AD110" i="34"/>
  <c r="AB106" i="34"/>
  <c r="AC106" i="34" s="1"/>
  <c r="AD106" i="34" s="1"/>
  <c r="AJ49" i="34"/>
  <c r="AL49" i="34" s="1"/>
  <c r="AJ110" i="34"/>
  <c r="AL110" i="34" s="1"/>
  <c r="AJ122" i="34"/>
  <c r="AK122" i="34" s="1"/>
  <c r="Q54" i="34"/>
  <c r="T54" i="34" s="1"/>
  <c r="S93" i="34"/>
  <c r="T93" i="34" s="1"/>
  <c r="S68" i="34"/>
  <c r="T68" i="34" s="1"/>
  <c r="S64" i="34"/>
  <c r="S53" i="34"/>
  <c r="T53" i="34" s="1"/>
  <c r="S21" i="34"/>
  <c r="T21" i="34" s="1"/>
  <c r="L43" i="3"/>
  <c r="K38" i="3"/>
  <c r="L39" i="3"/>
  <c r="M43" i="3"/>
  <c r="F43" i="3"/>
  <c r="I38" i="3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G13" i="34" s="1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F16" i="34"/>
  <c r="AG16" i="34" s="1"/>
  <c r="AJ16" i="34"/>
  <c r="AL16" i="34" s="1"/>
  <c r="AJ62" i="34"/>
  <c r="AL62" i="34" s="1"/>
  <c r="AF72" i="34"/>
  <c r="Q97" i="34"/>
  <c r="T97" i="34" s="1"/>
  <c r="AF29" i="34"/>
  <c r="AG29" i="34" s="1"/>
  <c r="S41" i="34"/>
  <c r="T41" i="34" s="1"/>
  <c r="AF56" i="34"/>
  <c r="AG56" i="34" s="1"/>
  <c r="AH56" i="34" s="1"/>
  <c r="AJ72" i="34"/>
  <c r="AJ118" i="34"/>
  <c r="AJ56" i="34"/>
  <c r="AL56" i="34" s="1"/>
  <c r="AF116" i="34"/>
  <c r="AG116" i="34" s="1"/>
  <c r="AB104" i="34"/>
  <c r="AC104" i="34" s="1"/>
  <c r="AD104" i="34" s="1"/>
  <c r="AF104" i="34"/>
  <c r="AG104" i="34" s="1"/>
  <c r="AJ113" i="34"/>
  <c r="AK113" i="34" s="1"/>
  <c r="Q14" i="34"/>
  <c r="T14" i="34" s="1"/>
  <c r="AF36" i="34"/>
  <c r="AG36" i="34" s="1"/>
  <c r="AH36" i="34" s="1"/>
  <c r="AF45" i="34"/>
  <c r="AG45" i="34" s="1"/>
  <c r="AH45" i="34" s="1"/>
  <c r="AL48" i="34"/>
  <c r="S101" i="34"/>
  <c r="T101" i="34" s="1"/>
  <c r="AJ45" i="34"/>
  <c r="AL45" i="34" s="1"/>
  <c r="T64" i="34"/>
  <c r="AJ92" i="34"/>
  <c r="AL92" i="34" s="1"/>
  <c r="AF122" i="34"/>
  <c r="AG122" i="34" s="1"/>
  <c r="AH122" i="34" s="1"/>
  <c r="Q73" i="34"/>
  <c r="T73" i="34" s="1"/>
  <c r="S120" i="34"/>
  <c r="T120" i="34" s="1"/>
  <c r="AJ26" i="34"/>
  <c r="AL26" i="34" s="1"/>
  <c r="AK60" i="34"/>
  <c r="AF48" i="34"/>
  <c r="AG48" i="34" s="1"/>
  <c r="AH48" i="34" s="1"/>
  <c r="AL69" i="34"/>
  <c r="AF20" i="34"/>
  <c r="AF38" i="34"/>
  <c r="AG38" i="34" s="1"/>
  <c r="AH38" i="34" s="1"/>
  <c r="AL14" i="34"/>
  <c r="S80" i="34"/>
  <c r="T80" i="34" s="1"/>
  <c r="AJ98" i="34"/>
  <c r="AL98" i="34" s="1"/>
  <c r="AJ117" i="34"/>
  <c r="S32" i="34"/>
  <c r="T32" i="34" s="1"/>
  <c r="AF94" i="34"/>
  <c r="AG94" i="34" s="1"/>
  <c r="AF60" i="34"/>
  <c r="AG60" i="34" s="1"/>
  <c r="AH60" i="34" s="1"/>
  <c r="AJ36" i="34"/>
  <c r="AL36" i="34" s="1"/>
  <c r="AJ94" i="34"/>
  <c r="AF125" i="34"/>
  <c r="AG125" i="34" s="1"/>
  <c r="AH125" i="34" s="1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AJ53" i="34"/>
  <c r="AL53" i="34" s="1"/>
  <c r="AF88" i="34"/>
  <c r="AG88" i="34" s="1"/>
  <c r="AH88" i="34" s="1"/>
  <c r="AF46" i="34"/>
  <c r="AB18" i="34"/>
  <c r="AK88" i="34"/>
  <c r="AF42" i="34"/>
  <c r="AG42" i="34" s="1"/>
  <c r="AH42" i="34" s="1"/>
  <c r="AF9" i="34"/>
  <c r="AF52" i="34"/>
  <c r="AG52" i="34" s="1"/>
  <c r="AH52" i="34" s="1"/>
  <c r="AF69" i="34"/>
  <c r="AG69" i="34" s="1"/>
  <c r="AH69" i="34" s="1"/>
  <c r="AF14" i="34"/>
  <c r="AJ12" i="34"/>
  <c r="AJ9" i="34"/>
  <c r="AL9" i="34" s="1"/>
  <c r="AJ52" i="34"/>
  <c r="AL52" i="34" s="1"/>
  <c r="AC84" i="34"/>
  <c r="AD84" i="34" s="1"/>
  <c r="S10" i="34"/>
  <c r="Q10" i="34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B58" i="34"/>
  <c r="AJ58" i="34"/>
  <c r="AF58" i="34"/>
  <c r="AC9" i="34"/>
  <c r="AD9" i="34" s="1"/>
  <c r="AJ65" i="34"/>
  <c r="AF65" i="34"/>
  <c r="AF28" i="34"/>
  <c r="AB28" i="34"/>
  <c r="AC50" i="34"/>
  <c r="AD50" i="34" s="1"/>
  <c r="AB65" i="34"/>
  <c r="AG74" i="34"/>
  <c r="AH74" i="34" s="1"/>
  <c r="S24" i="34"/>
  <c r="T24" i="34" s="1"/>
  <c r="Q96" i="34"/>
  <c r="T96" i="34" s="1"/>
  <c r="AF93" i="34"/>
  <c r="AJ93" i="34"/>
  <c r="AB93" i="34"/>
  <c r="AJ84" i="34"/>
  <c r="AF84" i="34"/>
  <c r="AL100" i="34"/>
  <c r="AK100" i="34"/>
  <c r="AK26" i="34"/>
  <c r="AK120" i="34"/>
  <c r="AL120" i="34"/>
  <c r="AJ28" i="34"/>
  <c r="AD42" i="34"/>
  <c r="AF53" i="34"/>
  <c r="S62" i="34"/>
  <c r="T62" i="34" s="1"/>
  <c r="AC72" i="34"/>
  <c r="AD72" i="34" s="1"/>
  <c r="AL85" i="34"/>
  <c r="Q90" i="34"/>
  <c r="T90" i="34" s="1"/>
  <c r="AB100" i="34"/>
  <c r="AL104" i="34"/>
  <c r="AG101" i="34"/>
  <c r="AH101" i="34" s="1"/>
  <c r="Q76" i="34"/>
  <c r="S76" i="34"/>
  <c r="AG33" i="34"/>
  <c r="AH33" i="34" s="1"/>
  <c r="AB73" i="34"/>
  <c r="AJ73" i="34"/>
  <c r="AC94" i="34"/>
  <c r="AD94" i="34" s="1"/>
  <c r="AG110" i="34"/>
  <c r="AH110" i="34" s="1"/>
  <c r="AG9" i="34"/>
  <c r="AH9" i="34" s="1"/>
  <c r="Q25" i="34"/>
  <c r="T25" i="34" s="1"/>
  <c r="AC46" i="34"/>
  <c r="AD46" i="34" s="1"/>
  <c r="AB66" i="34"/>
  <c r="AF66" i="34"/>
  <c r="AJ66" i="34"/>
  <c r="AG76" i="34"/>
  <c r="AH76" i="34" s="1"/>
  <c r="AH16" i="34"/>
  <c r="AB85" i="34"/>
  <c r="AK40" i="34"/>
  <c r="Q69" i="34"/>
  <c r="T69" i="34" s="1"/>
  <c r="AG25" i="34"/>
  <c r="AH25" i="34" s="1"/>
  <c r="Q42" i="34"/>
  <c r="T42" i="34" s="1"/>
  <c r="AG46" i="34"/>
  <c r="AH46" i="34" s="1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J50" i="34"/>
  <c r="AF50" i="34"/>
  <c r="AF120" i="34"/>
  <c r="AB120" i="34"/>
  <c r="AG20" i="34"/>
  <c r="AH20" i="34" s="1"/>
  <c r="S66" i="34"/>
  <c r="Q66" i="34"/>
  <c r="Q12" i="34"/>
  <c r="T12" i="34" s="1"/>
  <c r="AF73" i="34"/>
  <c r="S45" i="34"/>
  <c r="Q45" i="34"/>
  <c r="T45" i="34" s="1"/>
  <c r="AC18" i="34"/>
  <c r="AD18" i="34" s="1"/>
  <c r="AG62" i="34"/>
  <c r="AH62" i="34" s="1"/>
  <c r="AG72" i="34"/>
  <c r="AH72" i="34" s="1"/>
  <c r="AG90" i="34"/>
  <c r="AH90" i="34" s="1"/>
  <c r="AG109" i="34"/>
  <c r="AH109" i="34" s="1"/>
  <c r="Q28" i="34"/>
  <c r="T28" i="34" s="1"/>
  <c r="Q38" i="34"/>
  <c r="S38" i="34"/>
  <c r="AB90" i="34"/>
  <c r="AB109" i="34"/>
  <c r="AL38" i="34"/>
  <c r="AK38" i="34"/>
  <c r="AC45" i="34"/>
  <c r="AD45" i="34" s="1"/>
  <c r="Q58" i="34"/>
  <c r="T58" i="34" s="1"/>
  <c r="AJ90" i="34"/>
  <c r="Q102" i="34"/>
  <c r="T102" i="34" s="1"/>
  <c r="AG14" i="34"/>
  <c r="AH14" i="34" s="1"/>
  <c r="AG18" i="34"/>
  <c r="AH18" i="34" s="1"/>
  <c r="AB38" i="34"/>
  <c r="AJ109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T33" i="34" s="1"/>
  <c r="Q50" i="34"/>
  <c r="T50" i="34" s="1"/>
  <c r="AB54" i="34"/>
  <c r="AF89" i="34"/>
  <c r="AJ89" i="34"/>
  <c r="AB108" i="34"/>
  <c r="AJ126" i="34"/>
  <c r="AF126" i="34"/>
  <c r="AB126" i="34"/>
  <c r="AB20" i="34"/>
  <c r="AB37" i="34"/>
  <c r="S57" i="34"/>
  <c r="Q57" i="34"/>
  <c r="AJ64" i="34"/>
  <c r="AF64" i="34"/>
  <c r="AB89" i="34"/>
  <c r="AB14" i="34"/>
  <c r="Q60" i="34"/>
  <c r="T60" i="34" s="1"/>
  <c r="AG113" i="34"/>
  <c r="AH113" i="34" s="1"/>
  <c r="S36" i="34"/>
  <c r="Q36" i="34"/>
  <c r="Q113" i="34"/>
  <c r="S113" i="34"/>
  <c r="AB32" i="34"/>
  <c r="S40" i="34"/>
  <c r="Q40" i="34"/>
  <c r="Q48" i="34"/>
  <c r="S48" i="34"/>
  <c r="S72" i="34"/>
  <c r="Q72" i="34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AH117" i="34"/>
  <c r="AG82" i="34"/>
  <c r="AH82" i="34" s="1"/>
  <c r="Q110" i="34"/>
  <c r="T110" i="34" s="1"/>
  <c r="AC118" i="34"/>
  <c r="AD118" i="34" s="1"/>
  <c r="AD122" i="34"/>
  <c r="AB12" i="34"/>
  <c r="Q16" i="34"/>
  <c r="T16" i="34" s="1"/>
  <c r="AB21" i="34"/>
  <c r="AF21" i="34"/>
  <c r="AB74" i="34"/>
  <c r="AC98" i="34"/>
  <c r="AD98" i="34" s="1"/>
  <c r="AK102" i="34"/>
  <c r="AL102" i="34"/>
  <c r="Q114" i="34"/>
  <c r="T114" i="34" s="1"/>
  <c r="AJ21" i="34"/>
  <c r="AB86" i="34"/>
  <c r="AF86" i="34"/>
  <c r="AF98" i="34"/>
  <c r="AB102" i="34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S85" i="34"/>
  <c r="Q85" i="34"/>
  <c r="Q49" i="34"/>
  <c r="T49" i="34" s="1"/>
  <c r="Q81" i="34"/>
  <c r="T81" i="34" s="1"/>
  <c r="S94" i="34"/>
  <c r="Q94" i="34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I126" i="33"/>
  <c r="C126" i="33"/>
  <c r="B126" i="33"/>
  <c r="AI125" i="33"/>
  <c r="W125" i="33"/>
  <c r="AA125" i="33" s="1"/>
  <c r="M125" i="33"/>
  <c r="O125" i="33" s="1"/>
  <c r="I125" i="33"/>
  <c r="C125" i="33"/>
  <c r="B125" i="33"/>
  <c r="AI124" i="33"/>
  <c r="W124" i="33"/>
  <c r="AA124" i="33" s="1"/>
  <c r="M124" i="33"/>
  <c r="Q124" i="33" s="1"/>
  <c r="I124" i="33"/>
  <c r="C124" i="33"/>
  <c r="B124" i="33"/>
  <c r="AI122" i="33"/>
  <c r="W122" i="33"/>
  <c r="M122" i="33"/>
  <c r="Q122" i="33" s="1"/>
  <c r="I122" i="33"/>
  <c r="C122" i="33"/>
  <c r="B122" i="33"/>
  <c r="AI121" i="33"/>
  <c r="W121" i="33"/>
  <c r="AB121" i="33" s="1"/>
  <c r="M121" i="33"/>
  <c r="O121" i="33" s="1"/>
  <c r="I121" i="33"/>
  <c r="C121" i="33"/>
  <c r="B121" i="33"/>
  <c r="AI120" i="33"/>
  <c r="W120" i="33"/>
  <c r="AE120" i="33" s="1"/>
  <c r="M120" i="33"/>
  <c r="Q120" i="33" s="1"/>
  <c r="I120" i="33"/>
  <c r="C120" i="33"/>
  <c r="B120" i="33"/>
  <c r="AI118" i="33"/>
  <c r="W118" i="33"/>
  <c r="AE118" i="33" s="1"/>
  <c r="M118" i="33"/>
  <c r="Q118" i="33" s="1"/>
  <c r="I118" i="33"/>
  <c r="C118" i="33"/>
  <c r="B118" i="33"/>
  <c r="AI117" i="33"/>
  <c r="W117" i="33"/>
  <c r="AA117" i="33" s="1"/>
  <c r="M117" i="33"/>
  <c r="O117" i="33" s="1"/>
  <c r="I117" i="33"/>
  <c r="C117" i="33"/>
  <c r="B117" i="33"/>
  <c r="AI116" i="33"/>
  <c r="W116" i="33"/>
  <c r="AB116" i="33" s="1"/>
  <c r="M116" i="33"/>
  <c r="Q116" i="33" s="1"/>
  <c r="I116" i="33"/>
  <c r="C116" i="33"/>
  <c r="B116" i="33"/>
  <c r="AI114" i="33"/>
  <c r="W114" i="33"/>
  <c r="M114" i="33"/>
  <c r="Q114" i="33" s="1"/>
  <c r="I114" i="33"/>
  <c r="C114" i="33"/>
  <c r="B114" i="33"/>
  <c r="AI113" i="33"/>
  <c r="W113" i="33"/>
  <c r="AF113" i="33" s="1"/>
  <c r="M113" i="33"/>
  <c r="Q113" i="33" s="1"/>
  <c r="I113" i="33"/>
  <c r="C113" i="33"/>
  <c r="B113" i="33"/>
  <c r="AK113" i="33" s="1" a="1"/>
  <c r="AK113" i="33" s="1"/>
  <c r="AH113" i="33" s="1"/>
  <c r="AI112" i="33"/>
  <c r="W112" i="33"/>
  <c r="M112" i="33"/>
  <c r="Q112" i="33" s="1"/>
  <c r="I112" i="33"/>
  <c r="C112" i="33"/>
  <c r="B112" i="33"/>
  <c r="AI110" i="33"/>
  <c r="W110" i="33"/>
  <c r="AF110" i="33" s="1"/>
  <c r="M110" i="33"/>
  <c r="Q110" i="33" s="1"/>
  <c r="I110" i="33"/>
  <c r="C110" i="33"/>
  <c r="B110" i="33"/>
  <c r="AI109" i="33"/>
  <c r="W109" i="33"/>
  <c r="AA109" i="33" s="1"/>
  <c r="M109" i="33"/>
  <c r="I109" i="33"/>
  <c r="C109" i="33"/>
  <c r="B109" i="33"/>
  <c r="AI108" i="33"/>
  <c r="W108" i="33"/>
  <c r="Z108" i="33" s="1"/>
  <c r="M108" i="33"/>
  <c r="Q108" i="33" s="1"/>
  <c r="I108" i="33"/>
  <c r="C108" i="33"/>
  <c r="B108" i="33"/>
  <c r="AI106" i="33"/>
  <c r="W106" i="33"/>
  <c r="AF106" i="33" s="1"/>
  <c r="M106" i="33"/>
  <c r="Q106" i="33" s="1"/>
  <c r="I106" i="33"/>
  <c r="C106" i="33"/>
  <c r="B106" i="33"/>
  <c r="AI105" i="33"/>
  <c r="W105" i="33"/>
  <c r="AF105" i="33" s="1"/>
  <c r="M105" i="33"/>
  <c r="I105" i="33"/>
  <c r="C105" i="33"/>
  <c r="B105" i="33"/>
  <c r="AI104" i="33"/>
  <c r="W104" i="33"/>
  <c r="AD104" i="33" s="1"/>
  <c r="M104" i="33"/>
  <c r="Q104" i="33" s="1"/>
  <c r="I104" i="33"/>
  <c r="C104" i="33"/>
  <c r="B104" i="33"/>
  <c r="AI102" i="33"/>
  <c r="W102" i="33"/>
  <c r="AB102" i="33" s="1"/>
  <c r="M102" i="33"/>
  <c r="O102" i="33" s="1"/>
  <c r="I102" i="33"/>
  <c r="C102" i="33"/>
  <c r="B102" i="33"/>
  <c r="AI101" i="33"/>
  <c r="W101" i="33"/>
  <c r="AF101" i="33" s="1"/>
  <c r="M101" i="33"/>
  <c r="O101" i="33" s="1"/>
  <c r="I101" i="33"/>
  <c r="C101" i="33"/>
  <c r="B101" i="33"/>
  <c r="AI100" i="33"/>
  <c r="W100" i="33"/>
  <c r="M100" i="33"/>
  <c r="Q100" i="33" s="1"/>
  <c r="I100" i="33"/>
  <c r="C100" i="33"/>
  <c r="B100" i="33"/>
  <c r="AI98" i="33"/>
  <c r="W98" i="33"/>
  <c r="AE98" i="33" s="1"/>
  <c r="M98" i="33"/>
  <c r="Q98" i="33" s="1"/>
  <c r="I98" i="33"/>
  <c r="C98" i="33"/>
  <c r="B98" i="33"/>
  <c r="AI97" i="33"/>
  <c r="W97" i="33"/>
  <c r="AD97" i="33" s="1"/>
  <c r="M97" i="33"/>
  <c r="Q97" i="33" s="1"/>
  <c r="I97" i="33"/>
  <c r="C97" i="33"/>
  <c r="B97" i="33"/>
  <c r="AI96" i="33"/>
  <c r="W96" i="33"/>
  <c r="M96" i="33"/>
  <c r="O96" i="33" s="1"/>
  <c r="I96" i="33"/>
  <c r="C96" i="33"/>
  <c r="B96" i="33"/>
  <c r="AI94" i="33"/>
  <c r="W94" i="33"/>
  <c r="AA94" i="33" s="1"/>
  <c r="M94" i="33"/>
  <c r="Q94" i="33" s="1"/>
  <c r="I94" i="33"/>
  <c r="C94" i="33"/>
  <c r="B94" i="33"/>
  <c r="AI93" i="33"/>
  <c r="W93" i="33"/>
  <c r="AA93" i="33" s="1"/>
  <c r="M93" i="33"/>
  <c r="O93" i="33" s="1"/>
  <c r="I93" i="33"/>
  <c r="C93" i="33"/>
  <c r="B93" i="33"/>
  <c r="AI92" i="33"/>
  <c r="W92" i="33"/>
  <c r="Z92" i="33" s="1"/>
  <c r="M92" i="33"/>
  <c r="Q92" i="33" s="1"/>
  <c r="I92" i="33"/>
  <c r="C92" i="33"/>
  <c r="B92" i="33"/>
  <c r="AI90" i="33"/>
  <c r="W90" i="33"/>
  <c r="Z90" i="33" s="1"/>
  <c r="M90" i="33"/>
  <c r="Q90" i="33" s="1"/>
  <c r="I90" i="33"/>
  <c r="C90" i="33"/>
  <c r="B90" i="33"/>
  <c r="AI89" i="33"/>
  <c r="W89" i="33"/>
  <c r="Z89" i="33" s="1"/>
  <c r="M89" i="33"/>
  <c r="Q89" i="33" s="1"/>
  <c r="I89" i="33"/>
  <c r="C89" i="33"/>
  <c r="B89" i="33"/>
  <c r="AI88" i="33"/>
  <c r="W88" i="33"/>
  <c r="AB88" i="33" s="1"/>
  <c r="M88" i="33"/>
  <c r="O88" i="33" s="1"/>
  <c r="I88" i="33"/>
  <c r="C88" i="33"/>
  <c r="B88" i="33"/>
  <c r="AI86" i="33"/>
  <c r="W86" i="33"/>
  <c r="Z86" i="33" s="1"/>
  <c r="M86" i="33"/>
  <c r="Q86" i="33" s="1"/>
  <c r="I86" i="33"/>
  <c r="C86" i="33"/>
  <c r="B86" i="33"/>
  <c r="AI85" i="33"/>
  <c r="W85" i="33"/>
  <c r="AB85" i="33" s="1"/>
  <c r="M85" i="33"/>
  <c r="O85" i="33" s="1"/>
  <c r="I85" i="33"/>
  <c r="C85" i="33"/>
  <c r="B85" i="33"/>
  <c r="AI84" i="33"/>
  <c r="W84" i="33"/>
  <c r="Z84" i="33" s="1"/>
  <c r="M84" i="33"/>
  <c r="Q84" i="33" s="1"/>
  <c r="I84" i="33"/>
  <c r="C84" i="33"/>
  <c r="B84" i="33"/>
  <c r="AI82" i="33"/>
  <c r="W82" i="33"/>
  <c r="AB82" i="33" s="1"/>
  <c r="M82" i="33"/>
  <c r="Q82" i="33" s="1"/>
  <c r="I82" i="33"/>
  <c r="C82" i="33"/>
  <c r="B82" i="33"/>
  <c r="AI81" i="33"/>
  <c r="W81" i="33"/>
  <c r="AE81" i="33" s="1"/>
  <c r="M81" i="33"/>
  <c r="Q81" i="33" s="1"/>
  <c r="I81" i="33"/>
  <c r="C81" i="33"/>
  <c r="B81" i="33"/>
  <c r="AI80" i="33"/>
  <c r="W80" i="33"/>
  <c r="AF80" i="33" s="1"/>
  <c r="M80" i="33"/>
  <c r="Q80" i="33" s="1"/>
  <c r="I80" i="33"/>
  <c r="C80" i="33"/>
  <c r="B80" i="33"/>
  <c r="AI78" i="33"/>
  <c r="W78" i="33"/>
  <c r="M78" i="33"/>
  <c r="O78" i="33" s="1"/>
  <c r="I78" i="33"/>
  <c r="C78" i="33"/>
  <c r="B78" i="33"/>
  <c r="AK78" i="33" s="1" a="1"/>
  <c r="AK78" i="33" s="1"/>
  <c r="AH78" i="33" s="1"/>
  <c r="AI77" i="33"/>
  <c r="W77" i="33"/>
  <c r="M77" i="33"/>
  <c r="Q77" i="33" s="1"/>
  <c r="I77" i="33"/>
  <c r="C77" i="33"/>
  <c r="B77" i="33"/>
  <c r="AI76" i="33"/>
  <c r="W76" i="33"/>
  <c r="AF76" i="33" s="1"/>
  <c r="M76" i="33"/>
  <c r="Q76" i="33" s="1"/>
  <c r="I76" i="33"/>
  <c r="C76" i="33"/>
  <c r="B76" i="33"/>
  <c r="AI74" i="33"/>
  <c r="W74" i="33"/>
  <c r="AE74" i="33" s="1"/>
  <c r="M74" i="33"/>
  <c r="Q74" i="33" s="1"/>
  <c r="I74" i="33"/>
  <c r="C74" i="33"/>
  <c r="B74" i="33"/>
  <c r="AI73" i="33"/>
  <c r="W73" i="33"/>
  <c r="AD73" i="33" s="1"/>
  <c r="M73" i="33"/>
  <c r="Q73" i="33" s="1"/>
  <c r="I73" i="33"/>
  <c r="C73" i="33"/>
  <c r="B73" i="33"/>
  <c r="AI72" i="33"/>
  <c r="W72" i="33"/>
  <c r="AA72" i="33" s="1"/>
  <c r="M72" i="33"/>
  <c r="Q72" i="33" s="1"/>
  <c r="I72" i="33"/>
  <c r="C72" i="33"/>
  <c r="B72" i="33"/>
  <c r="AI70" i="33"/>
  <c r="W70" i="33"/>
  <c r="Z70" i="33" s="1"/>
  <c r="M70" i="33"/>
  <c r="Q70" i="33" s="1"/>
  <c r="I70" i="33"/>
  <c r="C70" i="33"/>
  <c r="B70" i="33"/>
  <c r="AI69" i="33"/>
  <c r="W69" i="33"/>
  <c r="AF69" i="33" s="1"/>
  <c r="M69" i="33"/>
  <c r="Q69" i="33" s="1"/>
  <c r="I69" i="33"/>
  <c r="C69" i="33"/>
  <c r="B69" i="33"/>
  <c r="AI68" i="33"/>
  <c r="W68" i="33"/>
  <c r="AF68" i="33" s="1"/>
  <c r="M68" i="33"/>
  <c r="I68" i="33"/>
  <c r="C68" i="33"/>
  <c r="B68" i="33"/>
  <c r="AI66" i="33"/>
  <c r="W66" i="33"/>
  <c r="M66" i="33"/>
  <c r="Q66" i="33" s="1"/>
  <c r="I66" i="33"/>
  <c r="C66" i="33"/>
  <c r="B66" i="33"/>
  <c r="AI65" i="33"/>
  <c r="W65" i="33"/>
  <c r="M65" i="33"/>
  <c r="O65" i="33" s="1"/>
  <c r="I65" i="33"/>
  <c r="C65" i="33"/>
  <c r="B65" i="33"/>
  <c r="AI64" i="33"/>
  <c r="W64" i="33"/>
  <c r="AF64" i="33" s="1"/>
  <c r="M64" i="33"/>
  <c r="Q64" i="33" s="1"/>
  <c r="I64" i="33"/>
  <c r="C64" i="33"/>
  <c r="B64" i="33"/>
  <c r="AI62" i="33"/>
  <c r="W62" i="33"/>
  <c r="AA62" i="33" s="1"/>
  <c r="M62" i="33"/>
  <c r="Q62" i="33" s="1"/>
  <c r="I62" i="33"/>
  <c r="C62" i="33"/>
  <c r="B62" i="33"/>
  <c r="AI61" i="33"/>
  <c r="W61" i="33"/>
  <c r="M61" i="33"/>
  <c r="Q61" i="33" s="1"/>
  <c r="I61" i="33"/>
  <c r="C61" i="33"/>
  <c r="B61" i="33"/>
  <c r="AI60" i="33"/>
  <c r="W60" i="33"/>
  <c r="M60" i="33"/>
  <c r="Q60" i="33" s="1"/>
  <c r="I60" i="33"/>
  <c r="C60" i="33"/>
  <c r="B60" i="33"/>
  <c r="AI58" i="33"/>
  <c r="W58" i="33"/>
  <c r="AB58" i="33" s="1"/>
  <c r="M58" i="33"/>
  <c r="O58" i="33" s="1"/>
  <c r="I58" i="33"/>
  <c r="C58" i="33"/>
  <c r="B58" i="33"/>
  <c r="AI57" i="33"/>
  <c r="W57" i="33"/>
  <c r="AA57" i="33" s="1"/>
  <c r="M57" i="33"/>
  <c r="I57" i="33"/>
  <c r="C57" i="33"/>
  <c r="B57" i="33"/>
  <c r="AI56" i="33"/>
  <c r="W56" i="33"/>
  <c r="Z56" i="33" s="1"/>
  <c r="M56" i="33"/>
  <c r="Q56" i="33" s="1"/>
  <c r="I56" i="33"/>
  <c r="C56" i="33"/>
  <c r="B56" i="33"/>
  <c r="AK56" i="33" s="1" a="1"/>
  <c r="AK56" i="33" s="1"/>
  <c r="AH56" i="33" s="1"/>
  <c r="AI54" i="33"/>
  <c r="W54" i="33"/>
  <c r="AE54" i="33" s="1"/>
  <c r="M54" i="33"/>
  <c r="Q54" i="33" s="1"/>
  <c r="I54" i="33"/>
  <c r="C54" i="33"/>
  <c r="B54" i="33"/>
  <c r="AI53" i="33"/>
  <c r="W53" i="33"/>
  <c r="AF53" i="33" s="1"/>
  <c r="M53" i="33"/>
  <c r="Q53" i="33" s="1"/>
  <c r="I53" i="33"/>
  <c r="C53" i="33"/>
  <c r="B53" i="33"/>
  <c r="AI52" i="33"/>
  <c r="W52" i="33"/>
  <c r="M52" i="33"/>
  <c r="I52" i="33"/>
  <c r="C52" i="33"/>
  <c r="B52" i="33"/>
  <c r="AI50" i="33"/>
  <c r="W50" i="33"/>
  <c r="AE50" i="33" s="1"/>
  <c r="M50" i="33"/>
  <c r="O50" i="33" s="1"/>
  <c r="I50" i="33"/>
  <c r="C50" i="33"/>
  <c r="B50" i="33"/>
  <c r="AI49" i="33"/>
  <c r="W49" i="33"/>
  <c r="M49" i="33"/>
  <c r="Q49" i="33" s="1"/>
  <c r="I49" i="33"/>
  <c r="C49" i="33"/>
  <c r="B49" i="33"/>
  <c r="AI48" i="33"/>
  <c r="W48" i="33"/>
  <c r="AA48" i="33" s="1"/>
  <c r="M48" i="33"/>
  <c r="Q48" i="33" s="1"/>
  <c r="I48" i="33"/>
  <c r="C48" i="33"/>
  <c r="B48" i="33"/>
  <c r="AI46" i="33"/>
  <c r="W46" i="33"/>
  <c r="M46" i="33"/>
  <c r="Q46" i="33" s="1"/>
  <c r="I46" i="33"/>
  <c r="C46" i="33"/>
  <c r="B46" i="33"/>
  <c r="AI45" i="33"/>
  <c r="W45" i="33"/>
  <c r="AA45" i="33" s="1"/>
  <c r="M45" i="33"/>
  <c r="Q45" i="33" s="1"/>
  <c r="I45" i="33"/>
  <c r="C45" i="33"/>
  <c r="B45" i="33"/>
  <c r="AI44" i="33"/>
  <c r="W44" i="33"/>
  <c r="M44" i="33"/>
  <c r="Q44" i="33" s="1"/>
  <c r="I44" i="33"/>
  <c r="C44" i="33"/>
  <c r="B44" i="33"/>
  <c r="AI42" i="33"/>
  <c r="W42" i="33"/>
  <c r="AF42" i="33" s="1"/>
  <c r="M42" i="33"/>
  <c r="Q42" i="33" s="1"/>
  <c r="I42" i="33"/>
  <c r="C42" i="33"/>
  <c r="B42" i="33"/>
  <c r="AI41" i="33"/>
  <c r="W41" i="33"/>
  <c r="AA41" i="33" s="1"/>
  <c r="M41" i="33"/>
  <c r="Q41" i="33" s="1"/>
  <c r="I41" i="33"/>
  <c r="C41" i="33"/>
  <c r="B41" i="33"/>
  <c r="AI40" i="33"/>
  <c r="W40" i="33"/>
  <c r="AB40" i="33" s="1"/>
  <c r="M40" i="33"/>
  <c r="Q40" i="33" s="1"/>
  <c r="I40" i="33"/>
  <c r="C40" i="33"/>
  <c r="B40" i="33"/>
  <c r="AI38" i="33"/>
  <c r="W38" i="33"/>
  <c r="M38" i="33"/>
  <c r="Q38" i="33" s="1"/>
  <c r="I38" i="33"/>
  <c r="C38" i="33"/>
  <c r="B38" i="33"/>
  <c r="AI37" i="33"/>
  <c r="W37" i="33"/>
  <c r="AF37" i="33" s="1"/>
  <c r="M37" i="33"/>
  <c r="I37" i="33"/>
  <c r="C37" i="33"/>
  <c r="B37" i="33"/>
  <c r="AI36" i="33"/>
  <c r="W36" i="33"/>
  <c r="AE36" i="33" s="1"/>
  <c r="M36" i="33"/>
  <c r="O36" i="33" s="1"/>
  <c r="I36" i="33"/>
  <c r="C36" i="33"/>
  <c r="B36" i="33"/>
  <c r="AI34" i="33"/>
  <c r="W34" i="33"/>
  <c r="AA34" i="33" s="1"/>
  <c r="M34" i="33"/>
  <c r="O34" i="33" s="1"/>
  <c r="I34" i="33"/>
  <c r="C34" i="33"/>
  <c r="B34" i="33"/>
  <c r="AI33" i="33"/>
  <c r="W33" i="33"/>
  <c r="Z33" i="33" s="1"/>
  <c r="M33" i="33"/>
  <c r="I33" i="33"/>
  <c r="C33" i="33"/>
  <c r="B33" i="33"/>
  <c r="AI32" i="33"/>
  <c r="W32" i="33"/>
  <c r="Z32" i="33" s="1"/>
  <c r="M32" i="33"/>
  <c r="Q32" i="33" s="1"/>
  <c r="I32" i="33"/>
  <c r="C32" i="33"/>
  <c r="B32" i="33"/>
  <c r="AI30" i="33"/>
  <c r="W30" i="33"/>
  <c r="AF30" i="33" s="1"/>
  <c r="M30" i="33"/>
  <c r="I30" i="33"/>
  <c r="C30" i="33"/>
  <c r="B30" i="33"/>
  <c r="AI29" i="33"/>
  <c r="W29" i="33"/>
  <c r="AE29" i="33" s="1"/>
  <c r="M29" i="33"/>
  <c r="Q29" i="33" s="1"/>
  <c r="I29" i="33"/>
  <c r="C29" i="33"/>
  <c r="B29" i="33"/>
  <c r="AI28" i="33"/>
  <c r="W28" i="33"/>
  <c r="Z28" i="33" s="1"/>
  <c r="M28" i="33"/>
  <c r="O28" i="33" s="1"/>
  <c r="I28" i="33"/>
  <c r="C28" i="33"/>
  <c r="B28" i="33"/>
  <c r="AI26" i="33"/>
  <c r="W26" i="33"/>
  <c r="Z26" i="33" s="1"/>
  <c r="M26" i="33"/>
  <c r="Q26" i="33" s="1"/>
  <c r="I26" i="33"/>
  <c r="C26" i="33"/>
  <c r="B26" i="33"/>
  <c r="AI25" i="33"/>
  <c r="W25" i="33"/>
  <c r="AF25" i="33" s="1"/>
  <c r="M25" i="33"/>
  <c r="O25" i="33" s="1"/>
  <c r="I25" i="33"/>
  <c r="C25" i="33"/>
  <c r="B25" i="33"/>
  <c r="AI24" i="33"/>
  <c r="W24" i="33"/>
  <c r="M24" i="33"/>
  <c r="Q24" i="33" s="1"/>
  <c r="I24" i="33"/>
  <c r="C24" i="33"/>
  <c r="B24" i="33"/>
  <c r="AI22" i="33"/>
  <c r="W22" i="33"/>
  <c r="M22" i="33"/>
  <c r="Q22" i="33" s="1"/>
  <c r="I22" i="33"/>
  <c r="C22" i="33"/>
  <c r="B22" i="33"/>
  <c r="AI21" i="33"/>
  <c r="W21" i="33"/>
  <c r="M21" i="33"/>
  <c r="O21" i="33" s="1"/>
  <c r="I21" i="33"/>
  <c r="C21" i="33"/>
  <c r="B21" i="33"/>
  <c r="AI20" i="33"/>
  <c r="W20" i="33"/>
  <c r="AA20" i="33" s="1"/>
  <c r="M20" i="33"/>
  <c r="Q20" i="33" s="1"/>
  <c r="I20" i="33"/>
  <c r="C20" i="33"/>
  <c r="B20" i="33"/>
  <c r="AI18" i="33"/>
  <c r="W18" i="33"/>
  <c r="Z18" i="33" s="1"/>
  <c r="M18" i="33"/>
  <c r="O18" i="33" s="1"/>
  <c r="I18" i="33"/>
  <c r="C18" i="33"/>
  <c r="B18" i="33"/>
  <c r="AI17" i="33"/>
  <c r="W17" i="33"/>
  <c r="AF17" i="33" s="1"/>
  <c r="M17" i="33"/>
  <c r="O17" i="33" s="1"/>
  <c r="I17" i="33"/>
  <c r="C17" i="33"/>
  <c r="B17" i="33"/>
  <c r="AI16" i="33"/>
  <c r="W16" i="33"/>
  <c r="M16" i="33"/>
  <c r="Q16" i="33" s="1"/>
  <c r="I16" i="33"/>
  <c r="C16" i="33"/>
  <c r="B16" i="33"/>
  <c r="AI14" i="33"/>
  <c r="W14" i="33"/>
  <c r="AF14" i="33" s="1"/>
  <c r="M14" i="33"/>
  <c r="Q14" i="33" s="1"/>
  <c r="I14" i="33"/>
  <c r="C14" i="33"/>
  <c r="B14" i="33"/>
  <c r="AI13" i="33"/>
  <c r="W13" i="33"/>
  <c r="Z13" i="33" s="1"/>
  <c r="M13" i="33"/>
  <c r="I13" i="33"/>
  <c r="C13" i="33"/>
  <c r="B13" i="33"/>
  <c r="AI12" i="33"/>
  <c r="W12" i="33"/>
  <c r="M12" i="33"/>
  <c r="Q12" i="33" s="1"/>
  <c r="I12" i="33"/>
  <c r="C12" i="33"/>
  <c r="B12" i="33"/>
  <c r="AI10" i="33"/>
  <c r="W10" i="33"/>
  <c r="AD10" i="33" s="1"/>
  <c r="M10" i="33"/>
  <c r="Q10" i="33" s="1"/>
  <c r="I10" i="33"/>
  <c r="C10" i="33"/>
  <c r="B10" i="33"/>
  <c r="AI9" i="33"/>
  <c r="W9" i="33"/>
  <c r="AD9" i="33" s="1"/>
  <c r="M9" i="33"/>
  <c r="Q9" i="33" s="1"/>
  <c r="I9" i="33"/>
  <c r="C9" i="33"/>
  <c r="B9" i="3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G50" i="31"/>
  <c r="X50" i="31"/>
  <c r="AD50" i="31" s="1"/>
  <c r="M50" i="31"/>
  <c r="Q50" i="31" s="1"/>
  <c r="I50" i="31"/>
  <c r="C50" i="31"/>
  <c r="B50" i="3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G40" i="31"/>
  <c r="X40" i="31"/>
  <c r="M40" i="31"/>
  <c r="Q40" i="31" s="1"/>
  <c r="I40" i="31"/>
  <c r="C40" i="31"/>
  <c r="B40" i="31"/>
  <c r="AG39" i="31"/>
  <c r="X39" i="31"/>
  <c r="M39" i="31"/>
  <c r="Q39" i="31" s="1"/>
  <c r="I39" i="31"/>
  <c r="C39" i="31"/>
  <c r="B39" i="3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G24" i="31"/>
  <c r="X24" i="31"/>
  <c r="AA24" i="31" s="1"/>
  <c r="M24" i="31"/>
  <c r="Q24" i="31" s="1"/>
  <c r="I24" i="31"/>
  <c r="C24" i="31"/>
  <c r="B24" i="3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G14" i="31"/>
  <c r="X14" i="31"/>
  <c r="AD14" i="31" s="1"/>
  <c r="M14" i="31"/>
  <c r="O14" i="31" s="1"/>
  <c r="I14" i="31"/>
  <c r="C14" i="31"/>
  <c r="B14" i="3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G10" i="31"/>
  <c r="X10" i="31"/>
  <c r="M10" i="31"/>
  <c r="Q10" i="31" s="1"/>
  <c r="I10" i="31"/>
  <c r="C10" i="31"/>
  <c r="B10" i="31"/>
  <c r="AG9" i="31"/>
  <c r="X9" i="31"/>
  <c r="AA9" i="31" s="1"/>
  <c r="I9" i="31"/>
  <c r="C9" i="31"/>
  <c r="B9" i="31"/>
  <c r="C9" i="30"/>
  <c r="C10" i="30"/>
  <c r="C11" i="30"/>
  <c r="B11" i="30" s="1"/>
  <c r="C12" i="30"/>
  <c r="B12" i="30" s="1"/>
  <c r="C13" i="30"/>
  <c r="B13" i="30" s="1"/>
  <c r="C14" i="30"/>
  <c r="B14" i="30" s="1"/>
  <c r="C15" i="30"/>
  <c r="B15" i="30" s="1"/>
  <c r="C16" i="30"/>
  <c r="B16" i="30" s="1"/>
  <c r="C17" i="30"/>
  <c r="B17" i="30" s="1"/>
  <c r="B18" i="30"/>
  <c r="C18" i="30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O18" i="30"/>
  <c r="Q18" i="30" s="1"/>
  <c r="I18" i="30"/>
  <c r="J18" i="30" s="1"/>
  <c r="AU17" i="30"/>
  <c r="AV17" i="30" s="1"/>
  <c r="AT17" i="30"/>
  <c r="AP17" i="30"/>
  <c r="AQ17" i="30" s="1"/>
  <c r="AK17" i="30"/>
  <c r="AJ17" i="30"/>
  <c r="AI17" i="30"/>
  <c r="AH17" i="30"/>
  <c r="AE17" i="30"/>
  <c r="AD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O16" i="30"/>
  <c r="S16" i="30" s="1"/>
  <c r="I16" i="30"/>
  <c r="J16" i="30" s="1"/>
  <c r="AU15" i="30"/>
  <c r="AV15" i="30" s="1"/>
  <c r="AT15" i="30"/>
  <c r="AP15" i="30"/>
  <c r="AK15" i="30"/>
  <c r="AJ15" i="30"/>
  <c r="AI15" i="30"/>
  <c r="AH15" i="30"/>
  <c r="AE15" i="30"/>
  <c r="AD15" i="30"/>
  <c r="O15" i="30"/>
  <c r="Q15" i="30" s="1"/>
  <c r="I15" i="30"/>
  <c r="J15" i="30" s="1"/>
  <c r="AU14" i="30"/>
  <c r="AV14" i="30" s="1"/>
  <c r="AT14" i="30"/>
  <c r="AP14" i="30"/>
  <c r="AK14" i="30"/>
  <c r="AJ14" i="30"/>
  <c r="AI14" i="30"/>
  <c r="AH14" i="30"/>
  <c r="AE14" i="30"/>
  <c r="AD14" i="30"/>
  <c r="O14" i="30"/>
  <c r="Q14" i="30" s="1"/>
  <c r="I14" i="30"/>
  <c r="J14" i="30" s="1"/>
  <c r="AU13" i="30"/>
  <c r="AV13" i="30" s="1"/>
  <c r="AT13" i="30"/>
  <c r="AP13" i="30"/>
  <c r="AK13" i="30"/>
  <c r="AJ13" i="30"/>
  <c r="AI13" i="30"/>
  <c r="AH13" i="30"/>
  <c r="AE13" i="30"/>
  <c r="AD13" i="30"/>
  <c r="AC13" i="30" s="1"/>
  <c r="O13" i="30"/>
  <c r="S13" i="30" s="1"/>
  <c r="I13" i="30"/>
  <c r="J13" i="30" s="1"/>
  <c r="AU12" i="30"/>
  <c r="AV12" i="30" s="1"/>
  <c r="AT12" i="30"/>
  <c r="AP12" i="30"/>
  <c r="AK12" i="30"/>
  <c r="AJ12" i="30"/>
  <c r="AI12" i="30"/>
  <c r="AH12" i="30"/>
  <c r="AE12" i="30"/>
  <c r="AD12" i="30"/>
  <c r="O12" i="30"/>
  <c r="S12" i="30" s="1"/>
  <c r="I12" i="30"/>
  <c r="J12" i="30" s="1"/>
  <c r="AU11" i="30"/>
  <c r="AV11" i="30" s="1"/>
  <c r="AP11" i="30"/>
  <c r="AK11" i="30"/>
  <c r="AJ11" i="30"/>
  <c r="AI11" i="30"/>
  <c r="AH11" i="30"/>
  <c r="AE11" i="30"/>
  <c r="AC11" i="30"/>
  <c r="O11" i="30"/>
  <c r="I11" i="30"/>
  <c r="J11" i="30" s="1"/>
  <c r="AU10" i="30"/>
  <c r="AV10" i="30" s="1"/>
  <c r="AT10" i="30"/>
  <c r="AP10" i="30"/>
  <c r="AK10" i="30"/>
  <c r="AJ10" i="30"/>
  <c r="AI10" i="30"/>
  <c r="AH10" i="30"/>
  <c r="AE10" i="30"/>
  <c r="AD10" i="30"/>
  <c r="O10" i="30"/>
  <c r="S10" i="30" s="1"/>
  <c r="I10" i="30"/>
  <c r="J10" i="30" s="1"/>
  <c r="AU9" i="30"/>
  <c r="AV9" i="30" s="1"/>
  <c r="AP9" i="30"/>
  <c r="AK9" i="30"/>
  <c r="AJ9" i="30"/>
  <c r="AI9" i="30"/>
  <c r="AH9" i="30"/>
  <c r="AE9" i="30"/>
  <c r="AC9" i="30" s="1"/>
  <c r="O9" i="30"/>
  <c r="S9" i="30" s="1"/>
  <c r="I9" i="30"/>
  <c r="J9" i="30" s="1"/>
  <c r="AU8" i="30"/>
  <c r="AV8" i="30" s="1"/>
  <c r="AT8" i="30"/>
  <c r="AP8" i="30"/>
  <c r="AK8" i="30"/>
  <c r="AJ8" i="30"/>
  <c r="AI8" i="30"/>
  <c r="AH8" i="30"/>
  <c r="AE8" i="30"/>
  <c r="AD8" i="30"/>
  <c r="O8" i="30"/>
  <c r="S8" i="30" s="1"/>
  <c r="I8" i="30"/>
  <c r="J8" i="30" s="1"/>
  <c r="AC10" i="30" l="1"/>
  <c r="AC14" i="30"/>
  <c r="AF14" i="30" s="1"/>
  <c r="AC15" i="30"/>
  <c r="AF15" i="30" s="1"/>
  <c r="AC17" i="30"/>
  <c r="AC8" i="30"/>
  <c r="AC16" i="30"/>
  <c r="AC12" i="30"/>
  <c r="B10" i="30"/>
  <c r="B9" i="30"/>
  <c r="T36" i="34"/>
  <c r="T10" i="34"/>
  <c r="T94" i="34"/>
  <c r="T20" i="34"/>
  <c r="T40" i="34"/>
  <c r="T72" i="34"/>
  <c r="T66" i="34"/>
  <c r="AI10" i="31" a="1"/>
  <c r="AI10" i="31" s="1"/>
  <c r="AF10" i="31" s="1"/>
  <c r="AP10" i="31" s="1"/>
  <c r="AI11" i="31" a="1"/>
  <c r="AI11" i="31" s="1"/>
  <c r="AF11" i="31" s="1"/>
  <c r="AI14" i="31" a="1"/>
  <c r="AI14" i="31" s="1"/>
  <c r="AF14" i="31" s="1"/>
  <c r="AM14" i="31" s="1"/>
  <c r="AI15" i="31" a="1"/>
  <c r="AI15" i="31" s="1"/>
  <c r="AF15" i="31" s="1"/>
  <c r="AI24" i="31" a="1"/>
  <c r="AI24" i="31" s="1"/>
  <c r="AF24" i="31" s="1"/>
  <c r="AP24" i="31" s="1"/>
  <c r="AI25" i="31" a="1"/>
  <c r="AI25" i="31" s="1"/>
  <c r="AF25" i="31" s="1"/>
  <c r="AP25" i="31" s="1"/>
  <c r="AI33" i="31" a="1"/>
  <c r="AI33" i="31" s="1"/>
  <c r="AF33" i="31" s="1"/>
  <c r="AI39" i="31" a="1"/>
  <c r="AI39" i="31" s="1"/>
  <c r="AF39" i="31" s="1"/>
  <c r="AI40" i="31" a="1"/>
  <c r="AI40" i="31" s="1"/>
  <c r="AF40" i="31" s="1"/>
  <c r="AQ40" i="31" s="1"/>
  <c r="AI41" i="31" a="1"/>
  <c r="AI41" i="31" s="1"/>
  <c r="AF41" i="31" s="1"/>
  <c r="AI44" i="31" a="1"/>
  <c r="AI44" i="31" s="1"/>
  <c r="AF44" i="31" s="1"/>
  <c r="AQ44" i="31" s="1"/>
  <c r="AI50" i="31" a="1"/>
  <c r="AI50" i="31" s="1"/>
  <c r="AF50" i="31" s="1"/>
  <c r="AM50" i="31" s="1"/>
  <c r="AI51" i="31" a="1"/>
  <c r="AI51" i="31" s="1"/>
  <c r="AF51" i="31" s="1"/>
  <c r="AK77" i="33" a="1"/>
  <c r="AK77" i="33" s="1"/>
  <c r="AH77" i="33" s="1"/>
  <c r="AK62" i="34"/>
  <c r="T86" i="34"/>
  <c r="AK82" i="34"/>
  <c r="AH116" i="34"/>
  <c r="AK16" i="34"/>
  <c r="AK18" i="33" a="1"/>
  <c r="AK18" i="33" s="1"/>
  <c r="AH18" i="33" s="1"/>
  <c r="AK25" i="33" a="1"/>
  <c r="AK25" i="33" s="1"/>
  <c r="AH25" i="33" s="1"/>
  <c r="AK93" i="33" a="1"/>
  <c r="AK93" i="33" s="1"/>
  <c r="AH93" i="33" s="1"/>
  <c r="AR93" i="33" s="1"/>
  <c r="AK20" i="33" a="1"/>
  <c r="AK20" i="33" s="1"/>
  <c r="AH20" i="33" s="1"/>
  <c r="AK33" i="33" a="1"/>
  <c r="AK33" i="33" s="1"/>
  <c r="AH33" i="33" s="1"/>
  <c r="AN33" i="33" s="1"/>
  <c r="AK41" i="33" a="1"/>
  <c r="AK41" i="33" s="1"/>
  <c r="AH41" i="33" s="1"/>
  <c r="AK90" i="33" a="1"/>
  <c r="AK90" i="33" s="1"/>
  <c r="AH90" i="33" s="1"/>
  <c r="AK61" i="33" a="1"/>
  <c r="AK61" i="33" s="1"/>
  <c r="AH61" i="33" s="1"/>
  <c r="AK98" i="33" a="1"/>
  <c r="AK98" i="33" s="1"/>
  <c r="AH98" i="33" s="1"/>
  <c r="AS98" i="33" s="1"/>
  <c r="AI35" i="31" a="1"/>
  <c r="AI35" i="31" s="1"/>
  <c r="AF35" i="31" s="1"/>
  <c r="AI13" i="31" a="1"/>
  <c r="AI13" i="31" s="1"/>
  <c r="AF13" i="31" s="1"/>
  <c r="AM13" i="31" s="1"/>
  <c r="AI31" i="31" a="1"/>
  <c r="AI31" i="31" s="1"/>
  <c r="AF31" i="31" s="1"/>
  <c r="AI38" i="31" a="1"/>
  <c r="AI38" i="31" s="1"/>
  <c r="AF38" i="31" s="1"/>
  <c r="L38" i="3"/>
  <c r="AK53" i="34"/>
  <c r="AL101" i="34"/>
  <c r="AH13" i="34"/>
  <c r="AK45" i="34"/>
  <c r="AK98" i="34"/>
  <c r="AK76" i="34"/>
  <c r="AK110" i="34"/>
  <c r="AK49" i="34"/>
  <c r="AH104" i="34"/>
  <c r="AK33" i="34"/>
  <c r="AL122" i="34"/>
  <c r="AK81" i="34"/>
  <c r="AH29" i="34"/>
  <c r="T92" i="34"/>
  <c r="AK125" i="33" a="1"/>
  <c r="AK125" i="33" s="1"/>
  <c r="AH125" i="33" s="1"/>
  <c r="AM125" i="33" s="1"/>
  <c r="AK96" i="33" a="1"/>
  <c r="AK96" i="33" s="1"/>
  <c r="AH96" i="33" s="1"/>
  <c r="AK114" i="33" a="1"/>
  <c r="AK114" i="33" s="1"/>
  <c r="AH114" i="33" s="1"/>
  <c r="AS114" i="33" s="1"/>
  <c r="AK60" i="33" a="1"/>
  <c r="AK60" i="33" s="1"/>
  <c r="AH60" i="33" s="1"/>
  <c r="AO60" i="33" s="1"/>
  <c r="AF72" i="33"/>
  <c r="AK12" i="33" a="1"/>
  <c r="AK12" i="33" s="1"/>
  <c r="AH12" i="33" s="1"/>
  <c r="AD72" i="33"/>
  <c r="AI19" i="31" a="1"/>
  <c r="AI19" i="31" s="1"/>
  <c r="AF19" i="31" s="1"/>
  <c r="AI21" i="31" a="1"/>
  <c r="AI21" i="31" s="1"/>
  <c r="AF21" i="31" s="1"/>
  <c r="T85" i="34"/>
  <c r="P11" i="46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 s="1"/>
  <c r="AC70" i="34"/>
  <c r="AD70" i="34" s="1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/>
  <c r="AC48" i="34"/>
  <c r="AD48" i="34" s="1"/>
  <c r="AK64" i="34"/>
  <c r="AL64" i="34"/>
  <c r="AG41" i="34"/>
  <c r="AH41" i="34" s="1"/>
  <c r="AG66" i="34"/>
  <c r="AH66" i="34" s="1"/>
  <c r="AC65" i="34"/>
  <c r="AD65" i="34" s="1"/>
  <c r="AC62" i="34"/>
  <c r="AD62" i="34" s="1"/>
  <c r="AG98" i="34"/>
  <c r="AH98" i="34" s="1"/>
  <c r="AC44" i="34"/>
  <c r="AD44" i="34" s="1"/>
  <c r="AG30" i="34"/>
  <c r="AH30" i="34" s="1"/>
  <c r="AL41" i="34"/>
  <c r="AK41" i="34"/>
  <c r="AC25" i="34"/>
  <c r="AD25" i="34" s="1"/>
  <c r="AC66" i="34"/>
  <c r="AD66" i="34" s="1"/>
  <c r="AC125" i="34"/>
  <c r="AD125" i="34" s="1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 s="1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 s="1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 s="1"/>
  <c r="AC17" i="34"/>
  <c r="AD17" i="34" s="1"/>
  <c r="AG97" i="34"/>
  <c r="AH97" i="34" s="1"/>
  <c r="AG126" i="34"/>
  <c r="AH126" i="34" s="1"/>
  <c r="AG10" i="34"/>
  <c r="AH10" i="34" s="1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 s="1"/>
  <c r="AC58" i="34"/>
  <c r="AD58" i="34" s="1"/>
  <c r="AC93" i="34"/>
  <c r="AD93" i="34" s="1"/>
  <c r="AC10" i="34"/>
  <c r="AD10" i="34" s="1"/>
  <c r="T113" i="34"/>
  <c r="AG108" i="34"/>
  <c r="AH108" i="34" s="1"/>
  <c r="AC116" i="34"/>
  <c r="AD116" i="34" s="1"/>
  <c r="T29" i="34"/>
  <c r="T122" i="34"/>
  <c r="AL124" i="34"/>
  <c r="AK124" i="34"/>
  <c r="AL90" i="34"/>
  <c r="AK90" i="34"/>
  <c r="AL97" i="34"/>
  <c r="AK97" i="34"/>
  <c r="AC85" i="34"/>
  <c r="AD85" i="34" s="1"/>
  <c r="T17" i="34"/>
  <c r="AD80" i="33"/>
  <c r="Z10" i="33"/>
  <c r="AK22" i="33" a="1"/>
  <c r="AK22" i="33" s="1"/>
  <c r="AH22" i="33" s="1"/>
  <c r="AO22" i="33" s="1"/>
  <c r="AK37" i="33" a="1"/>
  <c r="AK37" i="33" s="1"/>
  <c r="AH37" i="33" s="1"/>
  <c r="AN37" i="33" s="1"/>
  <c r="AE80" i="33"/>
  <c r="Q101" i="33"/>
  <c r="R101" i="33" s="1"/>
  <c r="Q21" i="33"/>
  <c r="R21" i="33" s="1"/>
  <c r="AA10" i="33"/>
  <c r="AF10" i="33"/>
  <c r="AF109" i="33"/>
  <c r="AK97" i="33" a="1"/>
  <c r="AK97" i="33" s="1"/>
  <c r="AH97" i="33" s="1"/>
  <c r="AS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S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S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AE104" i="33"/>
  <c r="AK92" i="33" a="1"/>
  <c r="AK92" i="33" s="1"/>
  <c r="AH92" i="33" s="1"/>
  <c r="AO92" i="33" s="1"/>
  <c r="AF85" i="33"/>
  <c r="AK57" i="33" a="1"/>
  <c r="AK57" i="33" s="1"/>
  <c r="AH57" i="33" s="1"/>
  <c r="AQ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R64" i="33" s="1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R102" i="33" s="1"/>
  <c r="Q78" i="33"/>
  <c r="R78" i="33" s="1"/>
  <c r="AE102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AE10" i="33"/>
  <c r="AD13" i="33"/>
  <c r="AK17" i="33" a="1"/>
  <c r="AK17" i="33" s="1"/>
  <c r="AH17" i="33" s="1"/>
  <c r="AS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N38" i="33"/>
  <c r="AS25" i="33"/>
  <c r="AQ25" i="33"/>
  <c r="AO25" i="33"/>
  <c r="AR25" i="33"/>
  <c r="AN25" i="33"/>
  <c r="AM25" i="33"/>
  <c r="AS90" i="33"/>
  <c r="AQ90" i="33"/>
  <c r="AR90" i="33"/>
  <c r="AO90" i="33"/>
  <c r="AM90" i="33"/>
  <c r="AN90" i="33"/>
  <c r="AR12" i="33"/>
  <c r="AQ12" i="33"/>
  <c r="AO12" i="33"/>
  <c r="AS12" i="33"/>
  <c r="AN12" i="33"/>
  <c r="AM12" i="33"/>
  <c r="AS20" i="33"/>
  <c r="AR20" i="33"/>
  <c r="AQ20" i="33"/>
  <c r="AO20" i="33"/>
  <c r="AN20" i="33"/>
  <c r="AM20" i="33"/>
  <c r="AS96" i="33"/>
  <c r="AR96" i="33"/>
  <c r="AN96" i="33"/>
  <c r="AQ96" i="33"/>
  <c r="AO96" i="33"/>
  <c r="AM96" i="33"/>
  <c r="AS77" i="33"/>
  <c r="AQ77" i="33"/>
  <c r="AN77" i="33"/>
  <c r="AR77" i="33"/>
  <c r="AO77" i="33"/>
  <c r="AM77" i="33"/>
  <c r="AS60" i="33"/>
  <c r="AR60" i="33"/>
  <c r="AQ60" i="33"/>
  <c r="AS113" i="33"/>
  <c r="AR113" i="33"/>
  <c r="AQ113" i="33"/>
  <c r="AO113" i="33"/>
  <c r="AN113" i="33"/>
  <c r="AM113" i="33"/>
  <c r="AO110" i="33"/>
  <c r="AN110" i="33"/>
  <c r="AQ33" i="33"/>
  <c r="AR10" i="33"/>
  <c r="Z82" i="33"/>
  <c r="O92" i="33"/>
  <c r="R92" i="33" s="1"/>
  <c r="AF16" i="33"/>
  <c r="AE16" i="33"/>
  <c r="AE61" i="33"/>
  <c r="AF61" i="33"/>
  <c r="AD61" i="33"/>
  <c r="AB61" i="33"/>
  <c r="AS41" i="33"/>
  <c r="AO41" i="33"/>
  <c r="AR41" i="33"/>
  <c r="AQ41" i="33"/>
  <c r="AN41" i="33"/>
  <c r="AM41" i="33"/>
  <c r="AK50" i="33" a="1"/>
  <c r="AK50" i="33" s="1"/>
  <c r="AH50" i="33" s="1"/>
  <c r="AB93" i="33"/>
  <c r="AA82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AS61" i="33"/>
  <c r="AQ61" i="33"/>
  <c r="AO61" i="33"/>
  <c r="AN61" i="33"/>
  <c r="AM61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R61" i="33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N22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AR114" i="33"/>
  <c r="AQ114" i="33"/>
  <c r="AO114" i="33"/>
  <c r="AN114" i="33"/>
  <c r="AM114" i="33"/>
  <c r="Z122" i="33"/>
  <c r="AF12" i="33"/>
  <c r="Z41" i="33"/>
  <c r="Z78" i="33"/>
  <c r="Z88" i="33"/>
  <c r="AM98" i="33"/>
  <c r="AF120" i="33"/>
  <c r="AD125" i="33"/>
  <c r="AB125" i="33"/>
  <c r="AF125" i="33"/>
  <c r="AE125" i="33"/>
  <c r="AK45" i="33" a="1"/>
  <c r="AK45" i="33" s="1"/>
  <c r="AH45" i="33" s="1"/>
  <c r="AK52" i="33" a="1"/>
  <c r="AK52" i="33" s="1"/>
  <c r="AH52" i="33" s="1"/>
  <c r="O84" i="33"/>
  <c r="R84" i="33" s="1"/>
  <c r="AB21" i="33"/>
  <c r="Z21" i="33"/>
  <c r="AE21" i="33"/>
  <c r="AD21" i="33"/>
  <c r="AA21" i="33"/>
  <c r="AF21" i="33"/>
  <c r="Q34" i="33"/>
  <c r="R34" i="33" s="1"/>
  <c r="AO57" i="33"/>
  <c r="AO78" i="33"/>
  <c r="AS18" i="33"/>
  <c r="AR18" i="33"/>
  <c r="AN18" i="33"/>
  <c r="AQ18" i="33"/>
  <c r="AO18" i="33"/>
  <c r="AM18" i="33"/>
  <c r="AQ78" i="33"/>
  <c r="Z101" i="33"/>
  <c r="AQ125" i="33"/>
  <c r="Q17" i="33"/>
  <c r="R17" i="33" s="1"/>
  <c r="AR78" i="33"/>
  <c r="AO21" i="33"/>
  <c r="AE24" i="33"/>
  <c r="AF24" i="33"/>
  <c r="AD24" i="33"/>
  <c r="AS58" i="33"/>
  <c r="AQ58" i="33"/>
  <c r="AR58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Z52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F44" i="33"/>
  <c r="Z49" i="33"/>
  <c r="AB52" i="33"/>
  <c r="Z77" i="33"/>
  <c r="O106" i="33"/>
  <c r="R106" i="33" s="1"/>
  <c r="Q126" i="33"/>
  <c r="O126" i="33"/>
  <c r="R126" i="33" s="1"/>
  <c r="O40" i="33"/>
  <c r="R40" i="33" s="1"/>
  <c r="O42" i="33"/>
  <c r="R42" i="33" s="1"/>
  <c r="AA49" i="33"/>
  <c r="AD52" i="33"/>
  <c r="AA77" i="33"/>
  <c r="O100" i="33"/>
  <c r="R100" i="33" s="1"/>
  <c r="Z93" i="33"/>
  <c r="AE93" i="33"/>
  <c r="AF93" i="33"/>
  <c r="AD93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O72" i="33"/>
  <c r="R72" i="33" s="1"/>
  <c r="O81" i="33"/>
  <c r="R81" i="33" s="1"/>
  <c r="AF84" i="33"/>
  <c r="AE84" i="33"/>
  <c r="AD84" i="33"/>
  <c r="AB84" i="33"/>
  <c r="AA84" i="33"/>
  <c r="AA101" i="33"/>
  <c r="Z24" i="33"/>
  <c r="AO94" i="33"/>
  <c r="AN94" i="33"/>
  <c r="AM94" i="33"/>
  <c r="AQ94" i="33"/>
  <c r="AR9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F38" i="32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38" i="32"/>
  <c r="AH38" i="32" s="1"/>
  <c r="AG44" i="32"/>
  <c r="AH44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M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O41" i="31"/>
  <c r="AK41" i="31"/>
  <c r="AM41" i="31"/>
  <c r="AL41" i="31"/>
  <c r="AQ41" i="31"/>
  <c r="AP41" i="31"/>
  <c r="AQ20" i="31"/>
  <c r="AP20" i="31"/>
  <c r="AO20" i="31"/>
  <c r="AM20" i="31"/>
  <c r="AL20" i="31"/>
  <c r="AK20" i="31"/>
  <c r="AQ26" i="31"/>
  <c r="AP26" i="31"/>
  <c r="AO26" i="31"/>
  <c r="AM26" i="31"/>
  <c r="AL26" i="31"/>
  <c r="AK50" i="31"/>
  <c r="AO33" i="31"/>
  <c r="AM33" i="31"/>
  <c r="AL33" i="31"/>
  <c r="AK33" i="31"/>
  <c r="AQ33" i="31"/>
  <c r="AP33" i="31"/>
  <c r="AQ38" i="31"/>
  <c r="AP38" i="31"/>
  <c r="AK38" i="31"/>
  <c r="AO38" i="31"/>
  <c r="AM38" i="31"/>
  <c r="AL38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A19" i="31"/>
  <c r="AL31" i="31"/>
  <c r="AK31" i="31"/>
  <c r="AO31" i="31"/>
  <c r="AM31" i="31"/>
  <c r="AL40" i="31"/>
  <c r="AC19" i="31"/>
  <c r="AM40" i="31"/>
  <c r="AL14" i="31"/>
  <c r="AK14" i="31"/>
  <c r="Z15" i="31"/>
  <c r="AD39" i="31"/>
  <c r="AC39" i="31"/>
  <c r="AA39" i="31"/>
  <c r="Z39" i="31"/>
  <c r="AO40" i="31"/>
  <c r="AL44" i="31"/>
  <c r="Q46" i="31"/>
  <c r="O46" i="3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Q31" i="31"/>
  <c r="AA41" i="31"/>
  <c r="AP14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L10" i="30"/>
  <c r="AF18" i="30"/>
  <c r="AL14" i="30"/>
  <c r="S14" i="30"/>
  <c r="T14" i="30" s="1"/>
  <c r="AO17" i="30"/>
  <c r="Q10" i="30"/>
  <c r="T10" i="30" s="1"/>
  <c r="AL15" i="30"/>
  <c r="AL17" i="30"/>
  <c r="Q16" i="30"/>
  <c r="T16" i="30" s="1"/>
  <c r="AL13" i="30"/>
  <c r="AL9" i="30"/>
  <c r="S15" i="30"/>
  <c r="T15" i="30" s="1"/>
  <c r="AL16" i="30"/>
  <c r="AO16" i="30"/>
  <c r="S18" i="30"/>
  <c r="T18" i="30" s="1"/>
  <c r="AL12" i="30"/>
  <c r="AL8" i="30"/>
  <c r="Q12" i="30"/>
  <c r="T12" i="30" s="1"/>
  <c r="AL11" i="30"/>
  <c r="S11" i="30"/>
  <c r="Q11" i="30"/>
  <c r="AF11" i="30" s="1"/>
  <c r="Q9" i="30"/>
  <c r="T9" i="30" s="1"/>
  <c r="Q8" i="30"/>
  <c r="T8" i="30" s="1"/>
  <c r="Q13" i="30"/>
  <c r="T13" i="30" s="1"/>
  <c r="Q17" i="30"/>
  <c r="T17" i="30" s="1"/>
  <c r="AL18" i="30"/>
  <c r="AO18" i="30"/>
  <c r="AL15" i="13"/>
  <c r="Y15" i="13"/>
  <c r="M15" i="13"/>
  <c r="Q15" i="13" s="1"/>
  <c r="I15" i="13"/>
  <c r="AL14" i="13"/>
  <c r="Y14" i="13"/>
  <c r="M14" i="13"/>
  <c r="I14" i="13"/>
  <c r="AL13" i="13"/>
  <c r="Y13" i="13"/>
  <c r="M13" i="13"/>
  <c r="I13" i="13"/>
  <c r="AL12" i="13"/>
  <c r="Y12" i="13"/>
  <c r="M12" i="13"/>
  <c r="Q12" i="13" s="1"/>
  <c r="I12" i="13"/>
  <c r="AL11" i="13"/>
  <c r="Y11" i="13"/>
  <c r="I11" i="13"/>
  <c r="AL10" i="13"/>
  <c r="Y10" i="13"/>
  <c r="AO10" i="13" s="1"/>
  <c r="M10" i="13"/>
  <c r="O10" i="13" s="1"/>
  <c r="I10" i="13"/>
  <c r="AL9" i="13"/>
  <c r="Y9" i="13"/>
  <c r="I9" i="13"/>
  <c r="C15" i="13"/>
  <c r="B15" i="13" s="1"/>
  <c r="C14" i="13"/>
  <c r="B14" i="13"/>
  <c r="C13" i="13"/>
  <c r="B13" i="13" s="1"/>
  <c r="C12" i="13"/>
  <c r="B12" i="13" s="1"/>
  <c r="C11" i="13"/>
  <c r="B11" i="13" s="1"/>
  <c r="C10" i="13"/>
  <c r="C9" i="13"/>
  <c r="B9" i="13" s="1"/>
  <c r="AQ9" i="13" s="1" a="1"/>
  <c r="AQ9" i="13" s="1"/>
  <c r="A10" i="13" l="1"/>
  <c r="AF16" i="30"/>
  <c r="AF12" i="30"/>
  <c r="AF9" i="30"/>
  <c r="AF10" i="30"/>
  <c r="AF17" i="30"/>
  <c r="AF13" i="30"/>
  <c r="A15" i="13"/>
  <c r="A14" i="13"/>
  <c r="A12" i="13"/>
  <c r="A13" i="13"/>
  <c r="A11" i="13"/>
  <c r="AF8" i="30"/>
  <c r="AK9" i="13"/>
  <c r="AP13" i="31"/>
  <c r="AO50" i="31"/>
  <c r="AQ25" i="31"/>
  <c r="AM34" i="33"/>
  <c r="AR125" i="33"/>
  <c r="AS33" i="33"/>
  <c r="AQ105" i="33"/>
  <c r="AQ13" i="31"/>
  <c r="R46" i="31"/>
  <c r="AP50" i="31"/>
  <c r="AK25" i="31"/>
  <c r="AO34" i="33"/>
  <c r="AN125" i="33"/>
  <c r="AM33" i="33"/>
  <c r="AO105" i="33"/>
  <c r="AL13" i="31"/>
  <c r="AQ50" i="31"/>
  <c r="AL25" i="31"/>
  <c r="AO125" i="33"/>
  <c r="AO33" i="33"/>
  <c r="AM38" i="33"/>
  <c r="AL50" i="31"/>
  <c r="AO25" i="31"/>
  <c r="R33" i="33"/>
  <c r="AM37" i="33"/>
  <c r="AQ34" i="33"/>
  <c r="AS125" i="33"/>
  <c r="AR33" i="33"/>
  <c r="AO38" i="33"/>
  <c r="AO13" i="31"/>
  <c r="AK13" i="31"/>
  <c r="AQ38" i="33"/>
  <c r="AN100" i="33"/>
  <c r="AO100" i="33"/>
  <c r="AQ74" i="33"/>
  <c r="AN74" i="33"/>
  <c r="AN60" i="33"/>
  <c r="AR74" i="33"/>
  <c r="AM22" i="33"/>
  <c r="AM60" i="33"/>
  <c r="AR38" i="33"/>
  <c r="AQ22" i="33"/>
  <c r="AN57" i="33"/>
  <c r="AR98" i="33"/>
  <c r="AR57" i="33"/>
  <c r="AS57" i="33"/>
  <c r="AM97" i="33"/>
  <c r="AN98" i="33"/>
  <c r="AR22" i="33"/>
  <c r="AS22" i="33"/>
  <c r="AM73" i="33"/>
  <c r="AM57" i="33"/>
  <c r="AQ98" i="33"/>
  <c r="AN97" i="33"/>
  <c r="AO98" i="33"/>
  <c r="AO97" i="33"/>
  <c r="AR36" i="33"/>
  <c r="AR97" i="33"/>
  <c r="AN34" i="33"/>
  <c r="AM36" i="33"/>
  <c r="AQ97" i="33"/>
  <c r="AR109" i="33"/>
  <c r="AQ36" i="33"/>
  <c r="AM110" i="33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AS80" i="33"/>
  <c r="AN102" i="33"/>
  <c r="AQ37" i="33"/>
  <c r="AO102" i="33"/>
  <c r="AR37" i="33"/>
  <c r="AR102" i="33"/>
  <c r="R57" i="33"/>
  <c r="AS37" i="33"/>
  <c r="AS65" i="33"/>
  <c r="AM102" i="33"/>
  <c r="AR80" i="33"/>
  <c r="AO80" i="33"/>
  <c r="AQ80" i="33"/>
  <c r="AO86" i="33"/>
  <c r="AO37" i="33"/>
  <c r="AQ68" i="33"/>
  <c r="AS74" i="33"/>
  <c r="AR68" i="33"/>
  <c r="AR105" i="33"/>
  <c r="AM53" i="33"/>
  <c r="AS68" i="33"/>
  <c r="AS10" i="33"/>
  <c r="AS105" i="33"/>
  <c r="AN53" i="33"/>
  <c r="AN36" i="33"/>
  <c r="AO10" i="33"/>
  <c r="AR53" i="33"/>
  <c r="AM109" i="33"/>
  <c r="AO36" i="33"/>
  <c r="AQ10" i="33"/>
  <c r="AQ53" i="33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R68" i="33"/>
  <c r="P9" i="46"/>
  <c r="S9" i="46" s="1"/>
  <c r="R25" i="31"/>
  <c r="O9" i="31"/>
  <c r="R9" i="31" s="1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11" i="30"/>
  <c r="AI14" i="13"/>
  <c r="AQ12" i="13" a="1"/>
  <c r="AQ12" i="13" s="1"/>
  <c r="AK12" i="13" s="1"/>
  <c r="AT12" i="13" s="1"/>
  <c r="AQ13" i="13" a="1"/>
  <c r="AQ13" i="13" s="1"/>
  <c r="M9" i="13"/>
  <c r="Q9" i="13" s="1"/>
  <c r="AQ14" i="13" a="1"/>
  <c r="AQ14" i="13" s="1"/>
  <c r="AI10" i="13"/>
  <c r="M11" i="13"/>
  <c r="O11" i="13" s="1"/>
  <c r="AQ15" i="13" a="1"/>
  <c r="AQ15" i="13" s="1"/>
  <c r="AO9" i="13"/>
  <c r="AD9" i="13" s="1"/>
  <c r="AI9" i="13"/>
  <c r="AF9" i="13"/>
  <c r="AQ11" i="13" a="1"/>
  <c r="AQ11" i="13" s="1"/>
  <c r="O15" i="13"/>
  <c r="R15" i="13" s="1"/>
  <c r="AA9" i="13"/>
  <c r="AF13" i="13"/>
  <c r="AA13" i="13"/>
  <c r="AB13" i="13"/>
  <c r="B10" i="13"/>
  <c r="AQ10" i="13" s="1" a="1"/>
  <c r="AQ10" i="13" s="1"/>
  <c r="AN10" i="13" s="1"/>
  <c r="AX10" i="13" s="1"/>
  <c r="O12" i="13"/>
  <c r="R12" i="13" s="1"/>
  <c r="AA14" i="13"/>
  <c r="AO12" i="13"/>
  <c r="AI12" i="13"/>
  <c r="AH12" i="13"/>
  <c r="AG12" i="13"/>
  <c r="AF12" i="13"/>
  <c r="AA12" i="13"/>
  <c r="BA9" i="13"/>
  <c r="AZ9" i="13"/>
  <c r="AT9" i="13"/>
  <c r="AS9" i="13"/>
  <c r="AA11" i="13"/>
  <c r="AO11" i="13"/>
  <c r="AC11" i="13" s="1"/>
  <c r="AF11" i="13"/>
  <c r="Q13" i="13"/>
  <c r="O13" i="13"/>
  <c r="AO15" i="13"/>
  <c r="AC15" i="13" s="1"/>
  <c r="AI15" i="13"/>
  <c r="AF15" i="13"/>
  <c r="AA15" i="13"/>
  <c r="AG10" i="13"/>
  <c r="AH10" i="13"/>
  <c r="AF10" i="13"/>
  <c r="AB10" i="13"/>
  <c r="AA10" i="13"/>
  <c r="AC10" i="13"/>
  <c r="AD10" i="13"/>
  <c r="Q10" i="13"/>
  <c r="R10" i="13" s="1"/>
  <c r="Q14" i="13"/>
  <c r="O14" i="13"/>
  <c r="AO14" i="13"/>
  <c r="AF14" i="13"/>
  <c r="AO13" i="13"/>
  <c r="AI13" i="13" s="1"/>
  <c r="AK14" i="13" l="1"/>
  <c r="AT14" i="13" s="1"/>
  <c r="AD15" i="13"/>
  <c r="AQ8" i="30"/>
  <c r="AB15" i="13"/>
  <c r="AH15" i="13"/>
  <c r="AG11" i="13"/>
  <c r="AN13" i="13"/>
  <c r="AV13" i="13" s="1"/>
  <c r="AD11" i="13"/>
  <c r="AH11" i="13"/>
  <c r="BB9" i="13"/>
  <c r="AU9" i="13"/>
  <c r="AG13" i="13"/>
  <c r="AH9" i="13"/>
  <c r="AD13" i="13"/>
  <c r="AI11" i="13"/>
  <c r="AD14" i="13"/>
  <c r="AB14" i="13"/>
  <c r="AG14" i="13"/>
  <c r="AC14" i="13"/>
  <c r="AH14" i="13"/>
  <c r="AB12" i="13"/>
  <c r="AD12" i="13"/>
  <c r="AC12" i="13"/>
  <c r="AG15" i="13"/>
  <c r="AB9" i="13"/>
  <c r="AC9" i="13"/>
  <c r="AB11" i="13"/>
  <c r="AC13" i="13"/>
  <c r="AH13" i="13"/>
  <c r="AN12" i="13"/>
  <c r="AX12" i="13" s="1"/>
  <c r="AK13" i="13"/>
  <c r="BA13" i="13" s="1"/>
  <c r="AN14" i="13"/>
  <c r="BE14" i="13" s="1"/>
  <c r="O9" i="13"/>
  <c r="R9" i="13" s="1"/>
  <c r="AS14" i="13"/>
  <c r="AU14" i="13" s="1"/>
  <c r="AS12" i="13"/>
  <c r="AU12" i="13" s="1"/>
  <c r="AX13" i="13"/>
  <c r="AZ12" i="13"/>
  <c r="BB12" i="13" s="1"/>
  <c r="BA12" i="13"/>
  <c r="BE13" i="13"/>
  <c r="BD13" i="13"/>
  <c r="AG9" i="13"/>
  <c r="BA14" i="13"/>
  <c r="AZ14" i="13"/>
  <c r="BB14" i="13" s="1"/>
  <c r="R14" i="13"/>
  <c r="BC13" i="13"/>
  <c r="AW13" i="13"/>
  <c r="BE10" i="13"/>
  <c r="BC10" i="13"/>
  <c r="AK15" i="13"/>
  <c r="AN15" i="13"/>
  <c r="AV10" i="13"/>
  <c r="BD10" i="13"/>
  <c r="Q11" i="13"/>
  <c r="R11" i="13" s="1"/>
  <c r="AW10" i="13"/>
  <c r="AN11" i="13"/>
  <c r="R13" i="13"/>
  <c r="AZ13" i="13" l="1"/>
  <c r="BB13" i="13" s="1"/>
  <c r="BC12" i="13"/>
  <c r="AW12" i="13"/>
  <c r="BE12" i="13"/>
  <c r="BD12" i="13"/>
  <c r="AV12" i="13"/>
  <c r="AW14" i="13"/>
  <c r="AX14" i="13"/>
  <c r="BD14" i="13"/>
  <c r="AV14" i="13"/>
  <c r="BC14" i="13"/>
  <c r="AS13" i="13"/>
  <c r="AU13" i="13" s="1"/>
  <c r="AT13" i="13"/>
  <c r="BC11" i="13"/>
  <c r="BE11" i="13" s="1"/>
  <c r="BD11" i="13"/>
  <c r="AV11" i="13"/>
  <c r="AX11" i="13" s="1"/>
  <c r="AW11" i="13"/>
  <c r="AS15" i="13"/>
  <c r="BB15" i="13"/>
  <c r="BA15" i="13"/>
  <c r="AZ15" i="13"/>
  <c r="AT15" i="13"/>
  <c r="AU15" i="13"/>
  <c r="BD15" i="13"/>
  <c r="BC15" i="13"/>
  <c r="BE15" i="13" s="1"/>
  <c r="AW15" i="13"/>
  <c r="AV15" i="13"/>
  <c r="AX15" i="13" s="1"/>
  <c r="C7" i="32" l="1"/>
  <c r="C8" i="31"/>
  <c r="AM7" i="32" l="1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8" i="30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A18" i="30" l="1"/>
  <c r="A19" i="30"/>
  <c r="B8" i="30"/>
  <c r="A13" i="30"/>
  <c r="A17" i="30"/>
  <c r="A11" i="30"/>
  <c r="A15" i="30"/>
  <c r="A16" i="30"/>
  <c r="A10" i="30"/>
  <c r="A9" i="30"/>
  <c r="A14" i="30"/>
  <c r="A12" i="30"/>
  <c r="N115" i="34"/>
  <c r="AF115" i="33"/>
  <c r="O115" i="34"/>
  <c r="AK8" i="33" a="1"/>
  <c r="AK8" i="33" s="1"/>
  <c r="M7" i="30"/>
  <c r="N7" i="30"/>
  <c r="K8" i="13"/>
  <c r="L8" i="13"/>
  <c r="M119" i="34"/>
  <c r="N119" i="34"/>
  <c r="K115" i="33"/>
  <c r="L115" i="33"/>
  <c r="M7" i="15"/>
  <c r="N7" i="15"/>
  <c r="AN115" i="34"/>
  <c r="M115" i="34"/>
  <c r="AN119" i="34"/>
  <c r="AB115" i="33"/>
  <c r="AN9" i="13" l="1"/>
  <c r="AK11" i="13"/>
  <c r="AK10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AT11" i="30" l="1"/>
  <c r="AT9" i="30"/>
  <c r="AO8" i="30"/>
  <c r="AQ9" i="30"/>
  <c r="AQ10" i="30"/>
  <c r="AO13" i="30"/>
  <c r="AQ13" i="30"/>
  <c r="AQ12" i="30"/>
  <c r="AO11" i="30"/>
  <c r="AQ15" i="30"/>
  <c r="AQ14" i="30"/>
  <c r="AO9" i="30"/>
  <c r="AO14" i="30"/>
  <c r="AO10" i="30"/>
  <c r="AO15" i="30"/>
  <c r="AO12" i="30"/>
  <c r="AQ11" i="30"/>
  <c r="BA10" i="13"/>
  <c r="AT10" i="13"/>
  <c r="AS10" i="13"/>
  <c r="AU10" i="13" s="1"/>
  <c r="AZ10" i="13"/>
  <c r="BB10" i="13" s="1"/>
  <c r="BA11" i="13"/>
  <c r="AZ11" i="13"/>
  <c r="BB11" i="13" s="1"/>
  <c r="AT11" i="13"/>
  <c r="AS11" i="13"/>
  <c r="AU11" i="13" s="1"/>
  <c r="AW9" i="13"/>
  <c r="AV9" i="13"/>
  <c r="AX9" i="13" s="1"/>
  <c r="BD9" i="13"/>
  <c r="BC9" i="13"/>
  <c r="BE9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7" i="30"/>
  <c r="R7" i="15"/>
  <c r="P7" i="15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S7" i="15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" i="30"/>
  <c r="O7" i="30"/>
  <c r="O7" i="15"/>
  <c r="M8" i="13"/>
  <c r="S39" i="34"/>
  <c r="S35" i="34"/>
  <c r="Q35" i="34"/>
  <c r="Q15" i="34"/>
  <c r="S15" i="34"/>
  <c r="Q55" i="33"/>
  <c r="Q63" i="33"/>
  <c r="Q35" i="33"/>
  <c r="O35" i="33"/>
  <c r="Q27" i="31"/>
  <c r="O32" i="31"/>
  <c r="O95" i="33" l="1"/>
  <c r="Q26" i="32"/>
  <c r="S26" i="32"/>
  <c r="Q67" i="34"/>
  <c r="O23" i="33"/>
  <c r="S46" i="32"/>
  <c r="Q36" i="32"/>
  <c r="O103" i="33"/>
  <c r="Q79" i="33"/>
  <c r="Q47" i="31"/>
  <c r="S59" i="34"/>
  <c r="Q47" i="34"/>
  <c r="Q71" i="33"/>
  <c r="O39" i="33"/>
  <c r="Q32" i="31"/>
  <c r="O27" i="31"/>
  <c r="Q23" i="34"/>
  <c r="Q11" i="34"/>
  <c r="Q55" i="34"/>
  <c r="S51" i="34"/>
  <c r="O67" i="33"/>
  <c r="O107" i="33"/>
  <c r="Q51" i="33"/>
  <c r="O19" i="33"/>
  <c r="Q99" i="33"/>
  <c r="Q87" i="33"/>
  <c r="Q95" i="33"/>
  <c r="Q7" i="30"/>
  <c r="Q7" i="15"/>
  <c r="Q8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O8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E7" i="30" l="1"/>
  <c r="AD7" i="30"/>
  <c r="AJ7" i="15"/>
  <c r="AH7" i="15"/>
  <c r="AC7" i="15"/>
  <c r="AE7" i="15"/>
  <c r="AN7" i="15"/>
  <c r="AP7" i="15"/>
  <c r="AD7" i="15"/>
  <c r="AI7" i="15"/>
  <c r="AC7" i="30"/>
  <c r="AI7" i="30"/>
  <c r="AJ7" i="30"/>
  <c r="AK7" i="30"/>
  <c r="AB7" i="30"/>
  <c r="AT7" i="30"/>
  <c r="AV7" i="30"/>
  <c r="AH7" i="30"/>
  <c r="AK7" i="15" l="1"/>
  <c r="AF7" i="15"/>
  <c r="AQ7" i="30"/>
  <c r="AF7" i="30"/>
  <c r="AL7" i="30"/>
  <c r="AO7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6" i="15" l="1"/>
  <c r="J8" i="13" l="1"/>
  <c r="L12" i="46"/>
  <c r="N8" i="46"/>
  <c r="L46" i="32"/>
  <c r="M41" i="32"/>
  <c r="L41" i="32"/>
  <c r="L36" i="32"/>
  <c r="L31" i="32"/>
  <c r="L26" i="32"/>
  <c r="L21" i="32"/>
  <c r="L16" i="32"/>
  <c r="L11" i="32"/>
  <c r="L7" i="30"/>
  <c r="L7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M8" i="33"/>
  <c r="M7" i="33" s="1"/>
  <c r="O8" i="34"/>
  <c r="O7" i="34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N6" i="34"/>
  <c r="M6" i="34"/>
  <c r="L6" i="33"/>
  <c r="N5" i="32"/>
  <c r="L6" i="31"/>
  <c r="O8" i="31"/>
  <c r="O7" i="31" s="1"/>
  <c r="K6" i="31"/>
  <c r="S7" i="32"/>
  <c r="S6" i="32" s="1"/>
  <c r="K6" i="33"/>
  <c r="N5" i="47"/>
  <c r="M5" i="32"/>
  <c r="S8" i="34"/>
  <c r="S7" i="34" s="1"/>
  <c r="R12" i="46"/>
  <c r="Q8" i="33"/>
  <c r="Q7" i="33" s="1"/>
  <c r="O8" i="33"/>
  <c r="O7" i="33" s="1"/>
  <c r="K7" i="13"/>
  <c r="L7" i="13"/>
  <c r="T7" i="47" l="1"/>
  <c r="T8" i="34"/>
  <c r="Q6" i="47"/>
  <c r="P12" i="46"/>
  <c r="T7" i="32"/>
  <c r="R8" i="31"/>
  <c r="R8" i="33"/>
  <c r="AF6" i="30" l="1"/>
  <c r="AL6" i="30"/>
  <c r="G27" i="39" l="1"/>
  <c r="F27" i="39"/>
  <c r="D27" i="39"/>
  <c r="C27" i="39"/>
  <c r="L123" i="34"/>
  <c r="J123" i="33"/>
  <c r="AX8" i="13" l="1"/>
  <c r="AW8" i="13"/>
  <c r="BD8" i="13"/>
  <c r="BC8" i="13"/>
  <c r="AV8" i="13"/>
  <c r="BE8" i="13"/>
  <c r="AB123" i="33"/>
  <c r="AD8" i="13"/>
  <c r="AI8" i="13"/>
  <c r="AA8" i="13"/>
  <c r="AG8" i="13"/>
  <c r="AF8" i="13"/>
  <c r="AH8" i="13"/>
  <c r="AC8" i="13"/>
  <c r="AB8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9" i="13" l="1"/>
  <c r="C43" i="39"/>
  <c r="A9" i="33" l="1"/>
  <c r="A10" i="33"/>
  <c r="Z7" i="32" l="1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6" i="15"/>
  <c r="G26" i="39"/>
  <c r="F26" i="39"/>
  <c r="D26" i="39"/>
  <c r="C26" i="39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AL5" i="32" l="1"/>
  <c r="AD17" i="31"/>
  <c r="AA17" i="31"/>
  <c r="AC17" i="31"/>
  <c r="AD32" i="31"/>
  <c r="AC32" i="31"/>
  <c r="AA37" i="31"/>
  <c r="Z37" i="31"/>
  <c r="Z8" i="31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B22" i="3"/>
  <c r="Z6" i="31" l="1"/>
  <c r="AP6" i="15"/>
  <c r="I21" i="3"/>
  <c r="I20" i="3" s="1"/>
  <c r="J20" i="3" s="1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6" i="30" l="1"/>
  <c r="AT6" i="30"/>
  <c r="K20" i="3"/>
  <c r="M20" i="3"/>
  <c r="N20" i="3" s="1"/>
  <c r="D20" i="3"/>
  <c r="F20" i="3"/>
  <c r="AI6" i="30"/>
  <c r="AJ6" i="30"/>
  <c r="AD6" i="30"/>
  <c r="AC6" i="30"/>
  <c r="AI6" i="15"/>
  <c r="AJ6" i="15"/>
  <c r="I32" i="3" s="1"/>
  <c r="AC6" i="15"/>
  <c r="AD6" i="15"/>
  <c r="AE6" i="15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6" i="30" l="1"/>
  <c r="AQ6" i="30"/>
  <c r="I7" i="32"/>
  <c r="J7" i="32" s="1"/>
  <c r="L107" i="34" l="1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BA8" i="13" l="1"/>
  <c r="AZ8" i="13"/>
  <c r="AT8" i="13"/>
  <c r="AS8" i="13"/>
  <c r="L6" i="34"/>
  <c r="BB8" i="13" l="1"/>
  <c r="AU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BA7" i="13"/>
  <c r="AZ7" i="13"/>
  <c r="AT7" i="13"/>
  <c r="BB7" i="13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S7" i="13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6" i="30"/>
  <c r="L6" i="15"/>
  <c r="J7" i="13"/>
  <c r="D32" i="39" l="1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6" i="30"/>
  <c r="I33" i="3" s="1"/>
  <c r="I31" i="3" s="1"/>
  <c r="L31" i="3" s="1"/>
  <c r="AH6" i="30"/>
  <c r="AE6" i="30"/>
  <c r="B33" i="3" s="1"/>
  <c r="B31" i="3" s="1"/>
  <c r="AB6" i="30"/>
  <c r="R6" i="15"/>
  <c r="P6" i="15"/>
  <c r="AF7" i="13"/>
  <c r="AA7" i="13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9" i="39"/>
  <c r="D10" i="39"/>
  <c r="D11" i="39"/>
  <c r="D18" i="39"/>
  <c r="C19" i="39"/>
  <c r="D19" i="39"/>
  <c r="C12" i="39"/>
  <c r="D12" i="39"/>
  <c r="D15" i="39"/>
  <c r="C10" i="39"/>
  <c r="D17" i="39"/>
  <c r="C11" i="39"/>
  <c r="C18" i="39"/>
  <c r="C13" i="39"/>
  <c r="C14" i="39"/>
  <c r="D9" i="39"/>
  <c r="C15" i="39"/>
  <c r="C17" i="39"/>
  <c r="D14" i="39"/>
  <c r="C16" i="39"/>
  <c r="D13" i="39"/>
  <c r="F15" i="39"/>
  <c r="G17" i="39"/>
  <c r="G15" i="39"/>
  <c r="G13" i="39"/>
  <c r="G10" i="39"/>
  <c r="F17" i="39"/>
  <c r="G12" i="39"/>
  <c r="G9" i="39"/>
  <c r="F19" i="39"/>
  <c r="G16" i="39"/>
  <c r="G18" i="39"/>
  <c r="G14" i="39"/>
  <c r="F9" i="39"/>
  <c r="F12" i="39"/>
  <c r="F16" i="39"/>
  <c r="F18" i="39"/>
  <c r="G11" i="39"/>
  <c r="F13" i="39"/>
  <c r="F11" i="39"/>
  <c r="F14" i="39"/>
  <c r="F10" i="39"/>
  <c r="G19" i="39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A24" i="33"/>
  <c r="A12" i="33"/>
  <c r="A8" i="33"/>
  <c r="A25" i="33"/>
  <c r="A8" i="34"/>
  <c r="A9" i="34"/>
  <c r="A8" i="30"/>
  <c r="A27" i="32"/>
  <c r="A42" i="32"/>
  <c r="A32" i="32"/>
  <c r="A37" i="32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R2" i="15"/>
  <c r="P2" i="15"/>
  <c r="J9" i="3"/>
  <c r="B19" i="39"/>
  <c r="AH8" i="33"/>
  <c r="O6" i="15"/>
  <c r="AA3" i="13"/>
  <c r="L9" i="3"/>
  <c r="AI7" i="13"/>
  <c r="J31" i="3" s="1"/>
  <c r="AD7" i="13"/>
  <c r="P2" i="30"/>
  <c r="R2" i="30"/>
  <c r="D9" i="3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AC3" i="13" l="1"/>
  <c r="C31" i="3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E14" i="39"/>
  <c r="E19" i="39"/>
  <c r="E17" i="39"/>
  <c r="E16" i="39"/>
  <c r="E15" i="39"/>
  <c r="E12" i="39"/>
  <c r="E13" i="39"/>
  <c r="E18" i="39"/>
  <c r="E11" i="39"/>
  <c r="E9" i="39"/>
  <c r="E10" i="39"/>
  <c r="F14" i="3"/>
  <c r="F13" i="3"/>
  <c r="F15" i="3"/>
  <c r="F12" i="3"/>
  <c r="F11" i="3"/>
  <c r="AF8" i="31"/>
  <c r="S6" i="15"/>
  <c r="H18" i="39"/>
  <c r="I18" i="39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H15" i="39"/>
  <c r="I10" i="39"/>
  <c r="I19" i="39"/>
  <c r="Q2" i="32"/>
  <c r="I14" i="39"/>
  <c r="H9" i="39"/>
  <c r="G8" i="39"/>
  <c r="I17" i="39"/>
  <c r="I13" i="39"/>
  <c r="I16" i="39"/>
  <c r="I12" i="39"/>
  <c r="I9" i="39"/>
  <c r="F8" i="39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F10" i="3"/>
  <c r="F9" i="3" s="1"/>
  <c r="B9" i="3"/>
  <c r="H26" i="39"/>
  <c r="S2" i="15"/>
  <c r="Q2" i="15"/>
  <c r="M9" i="39"/>
  <c r="I26" i="39"/>
  <c r="H8" i="39"/>
  <c r="I27" i="39"/>
  <c r="F25" i="39"/>
  <c r="M10" i="39"/>
  <c r="I8" i="39"/>
  <c r="H27" i="39"/>
  <c r="E8" i="39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7" i="13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F7" i="3"/>
  <c r="F6" i="3" s="1"/>
  <c r="F5" i="3" s="1"/>
  <c r="C6" i="3"/>
  <c r="H25" i="39"/>
  <c r="M8" i="39"/>
  <c r="I25" i="39"/>
  <c r="N10" i="39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6" i="15"/>
  <c r="AH6" i="15"/>
  <c r="L6" i="3" l="1"/>
  <c r="AH3" i="13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<sst xmlns="http://schemas.openxmlformats.org/spreadsheetml/2006/main" count="5044" uniqueCount="2132">
  <si>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</si>
  <si>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</si>
  <si>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</si>
  <si>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</si>
  <si>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</si>
  <si>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</si>
  <si>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</si>
  <si>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</si>
  <si>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</si>
  <si>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</si>
  <si>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</si>
  <si>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</si>
  <si>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</si>
  <si>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</si>
  <si>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</si>
  <si>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</si>
  <si>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</si>
  <si>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</si>
  <si>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</si>
  <si>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</si>
  <si>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</si>
  <si>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</si>
  <si>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</si>
  <si>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</si>
  <si>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</si>
  <si>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</si>
  <si>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</si>
  <si>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</si>
  <si>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</si>
  <si>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</si>
  <si>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</si>
  <si>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</si>
  <si>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</si>
  <si>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</si>
  <si>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</si>
  <si>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</si>
  <si>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</si>
  <si>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</si>
  <si>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</si>
  <si>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</si>
  <si>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</si>
  <si>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</si>
  <si>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</si>
  <si>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</si>
  <si>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</si>
  <si>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</si>
  <si>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</si>
  <si>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</si>
  <si>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</si>
  <si>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</si>
  <si>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</si>
  <si>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</si>
  <si>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</si>
  <si>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</si>
  <si>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</si>
  <si>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</si>
  <si>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</si>
  <si>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</si>
  <si>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</si>
  <si>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</si>
  <si>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</si>
  <si>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</si>
  <si>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</si>
  <si>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</si>
  <si>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</si>
  <si>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</si>
  <si>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</si>
  <si>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</si>
  <si>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</si>
  <si>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</si>
  <si>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</si>
  <si>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</si>
  <si>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</si>
  <si>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</si>
  <si>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</si>
  <si>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</si>
  <si>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</si>
  <si>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</si>
  <si>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</si>
  <si>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</si>
  <si>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</si>
  <si>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</si>
  <si>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</si>
  <si>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</si>
  <si>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</si>
  <si>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</si>
  <si>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</si>
  <si>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</si>
  <si>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</si>
  <si>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</si>
  <si>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</si>
  <si>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</si>
  <si>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</si>
  <si>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</si>
  <si>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</si>
  <si>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</si>
  <si>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</si>
  <si>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</si>
  <si>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</si>
  <si>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</si>
  <si>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</si>
  <si>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</si>
  <si>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</si>
  <si>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</si>
  <si>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</si>
  <si>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</si>
  <si>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</si>
  <si>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</si>
  <si>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</si>
  <si>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</si>
  <si>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</si>
  <si>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</si>
  <si>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</si>
  <si>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</si>
  <si>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</si>
  <si>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</si>
  <si>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</si>
  <si>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</si>
  <si>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</si>
  <si>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</si>
  <si>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</si>
  <si>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</si>
  <si>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</si>
  <si>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</si>
  <si>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</si>
  <si>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</si>
  <si>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</si>
  <si>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</si>
  <si>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</si>
  <si>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(농정해양위원회)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</si>
  <si>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</si>
  <si>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</si>
  <si>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</si>
  <si>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</si>
  <si>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</si>
  <si>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</si>
  <si>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</si>
  <si>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</si>
  <si>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</si>
  <si>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</si>
  <si>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</si>
  <si>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</si>
  <si>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</si>
  <si>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특별회계</t>
    <phoneticPr fontId="1" type="noConversion"/>
  </si>
  <si>
    <t>공기업특별회계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</si>
  <si>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</si>
  <si>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</si>
  <si>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</si>
  <si>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</si>
  <si>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</si>
  <si>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</si>
  <si>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</si>
  <si>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</si>
  <si>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</si>
  <si>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</si>
  <si>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</si>
  <si>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</si>
  <si>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</si>
  <si>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</si>
  <si>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</si>
  <si>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</si>
  <si>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</si>
  <si>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</si>
  <si>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</si>
  <si>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</si>
  <si>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</si>
  <si>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</si>
  <si>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</si>
  <si>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</si>
  <si>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</si>
  <si>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</si>
  <si>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</si>
  <si>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</si>
  <si>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</si>
  <si>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</si>
  <si>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</si>
  <si>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</si>
  <si>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</si>
  <si>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</si>
  <si>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</si>
  <si>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</si>
  <si>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</si>
  <si>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</si>
  <si>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</si>
  <si>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</si>
  <si>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</si>
  <si>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</si>
  <si>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</si>
  <si>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</si>
  <si>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</si>
  <si>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</si>
  <si>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</si>
  <si>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</si>
  <si>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</si>
  <si>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</si>
  <si>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</si>
  <si>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</si>
  <si>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</si>
  <si>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</si>
  <si>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</si>
  <si>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</si>
  <si>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</si>
  <si>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</si>
  <si>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</si>
  <si>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</si>
  <si>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</si>
  <si>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</si>
  <si>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</si>
  <si>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</si>
  <si>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</si>
  <si>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</si>
  <si>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</si>
  <si>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</si>
  <si>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</si>
  <si>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</si>
  <si>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</si>
  <si>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</si>
  <si>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</si>
  <si>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</si>
  <si>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</si>
  <si>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</si>
  <si>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</si>
  <si>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</si>
  <si>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</si>
  <si>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</si>
  <si>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</si>
  <si>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</si>
  <si>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</si>
  <si>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</si>
  <si>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</si>
  <si>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</si>
  <si>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</si>
  <si>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</si>
  <si>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</si>
  <si>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</si>
  <si>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</si>
  <si>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</si>
  <si>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</si>
  <si>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</si>
  <si>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</si>
  <si>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</si>
  <si>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</si>
  <si>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</si>
  <si>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</si>
  <si>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</si>
  <si>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</si>
  <si>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</si>
  <si>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</si>
  <si>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</si>
  <si>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</si>
  <si>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</si>
  <si>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</si>
  <si>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</si>
  <si>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</si>
  <si>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</si>
  <si>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</si>
  <si>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</si>
  <si>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</si>
  <si>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</si>
  <si>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</si>
  <si>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</si>
  <si>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</si>
  <si>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</si>
  <si>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</si>
  <si>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</si>
  <si>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</si>
  <si>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</si>
  <si>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</si>
  <si>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</si>
  <si>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</si>
  <si>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</si>
  <si>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</si>
  <si>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</si>
  <si>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</si>
  <si>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</si>
  <si>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</si>
  <si>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</si>
  <si>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</si>
  <si>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</si>
  <si>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</si>
  <si>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</si>
  <si>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</si>
  <si>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</si>
  <si>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</si>
  <si>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</si>
  <si>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</si>
  <si>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</si>
  <si>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</si>
  <si>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</si>
  <si>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</si>
  <si>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</si>
  <si>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</si>
  <si>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</si>
  <si>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</si>
  <si>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</si>
  <si>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</si>
  <si>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</si>
  <si>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</si>
  <si>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</si>
  <si>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</si>
  <si>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</si>
  <si>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보수</t>
  </si>
  <si>
    <t>101-02</t>
    <phoneticPr fontId="92" type="noConversion"/>
  </si>
  <si>
    <t>101-03</t>
    <phoneticPr fontId="92" type="noConversion"/>
  </si>
  <si>
    <t>101-04</t>
  </si>
  <si>
    <t>201-01</t>
    <phoneticPr fontId="92" type="noConversion"/>
  </si>
  <si>
    <t>사무관리비</t>
  </si>
  <si>
    <t>201-02</t>
    <phoneticPr fontId="92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</si>
  <si>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</si>
  <si>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</si>
  <si>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</si>
  <si>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</si>
  <si>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</si>
  <si>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</si>
  <si>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</si>
  <si>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</si>
  <si>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</si>
  <si>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</si>
  <si>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</si>
  <si>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</si>
  <si>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</si>
  <si>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</si>
  <si>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2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</si>
  <si>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</si>
  <si>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</si>
  <si>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</si>
  <si>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</si>
  <si>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</si>
  <si>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</si>
  <si>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</si>
  <si>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2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</si>
  <si>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</si>
  <si>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</si>
  <si>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</si>
  <si>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</si>
  <si>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</si>
  <si>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</si>
  <si>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</si>
  <si>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</si>
  <si>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</si>
  <si>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</si>
  <si>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</si>
  <si>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</si>
  <si>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</si>
  <si>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</si>
  <si>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</si>
  <si>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</si>
  <si>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</si>
  <si>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</si>
  <si>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</si>
  <si>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</si>
  <si>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</si>
  <si>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</si>
  <si>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</si>
  <si>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</si>
  <si>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</si>
  <si>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</si>
  <si>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</si>
  <si>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</si>
  <si>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</si>
  <si>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</si>
  <si>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</si>
  <si>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</si>
  <si>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</si>
  <si>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</si>
  <si>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</si>
  <si>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</si>
  <si>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</si>
  <si>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</si>
  <si>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</si>
  <si>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</si>
  <si>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</si>
  <si>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</si>
  <si>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</si>
  <si>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</si>
  <si>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</si>
  <si>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</si>
  <si>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</si>
  <si>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2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</si>
  <si>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</si>
  <si>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</si>
  <si>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</si>
  <si>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</si>
  <si>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</si>
  <si>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</si>
  <si>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</si>
  <si>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</si>
  <si>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</si>
  <si>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</si>
  <si>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</si>
  <si>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</si>
  <si>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</si>
  <si>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</si>
  <si>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</si>
  <si>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</si>
  <si>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</si>
  <si>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</si>
  <si>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</si>
  <si>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</si>
  <si>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</si>
  <si>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</si>
  <si>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</si>
  <si>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</si>
  <si>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</si>
  <si>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</si>
  <si>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</si>
  <si>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</si>
  <si>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</si>
  <si>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</si>
  <si>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</si>
  <si>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</si>
  <si>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</si>
  <si>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</si>
  <si>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</si>
  <si>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</si>
  <si>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</si>
  <si>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</si>
  <si>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</si>
  <si>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2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</si>
  <si>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</si>
  <si>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</si>
  <si>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</si>
  <si>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</si>
  <si>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</si>
  <si>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</si>
  <si>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</si>
  <si>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</si>
  <si>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</si>
  <si>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</si>
  <si>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</si>
  <si>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</si>
  <si>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</si>
  <si>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</si>
  <si>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</si>
  <si>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</si>
  <si>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</si>
  <si>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</si>
  <si>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</si>
  <si>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</si>
  <si>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</si>
  <si>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</si>
  <si>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</si>
  <si>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</si>
  <si>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</si>
  <si>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</si>
  <si>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</si>
  <si>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</si>
  <si>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</si>
  <si>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2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</si>
  <si>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</si>
  <si>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</si>
  <si>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</si>
  <si>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</si>
  <si>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</si>
  <si>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</si>
  <si>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</si>
  <si>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</si>
  <si>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</si>
  <si>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</si>
  <si>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</si>
  <si>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</si>
  <si>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</si>
  <si>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</si>
  <si>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</si>
  <si>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</si>
  <si>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</si>
  <si>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</si>
  <si>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</si>
  <si>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</si>
  <si>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</si>
  <si>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</si>
  <si>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</si>
  <si>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</si>
  <si>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</si>
  <si>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</si>
  <si>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</si>
  <si>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</si>
  <si>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</si>
  <si>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</si>
  <si>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</si>
  <si>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</si>
  <si>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</si>
  <si>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</si>
  <si>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</si>
  <si>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</si>
  <si>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</si>
  <si>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</si>
  <si>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</si>
  <si>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</si>
  <si>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</si>
  <si>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</si>
  <si>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</si>
  <si>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</si>
  <si>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</si>
  <si>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</si>
  <si>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</si>
  <si>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</si>
  <si>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</si>
  <si>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</si>
  <si>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</si>
  <si>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</si>
  <si>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</si>
  <si>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</si>
  <si>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</si>
  <si>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</si>
  <si>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</si>
  <si>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</si>
  <si>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</si>
  <si>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</si>
  <si>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</si>
  <si>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</si>
  <si>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</si>
  <si>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</si>
  <si>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</si>
  <si>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</si>
  <si>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</si>
  <si>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</si>
  <si>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</si>
  <si>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</si>
  <si>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</si>
  <si>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</si>
  <si>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</si>
  <si>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</si>
  <si>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</si>
  <si>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</si>
  <si>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</si>
  <si>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</si>
  <si>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</si>
  <si>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</si>
  <si>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</si>
  <si>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</si>
  <si>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2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</si>
  <si>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</si>
  <si>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</si>
  <si>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</si>
  <si>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</si>
  <si>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</si>
  <si>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</si>
  <si>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</si>
  <si>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</si>
  <si>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</si>
  <si>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</si>
  <si>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</si>
  <si>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</si>
  <si>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</si>
  <si>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</si>
  <si>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</si>
  <si>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</si>
  <si>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</si>
  <si>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</si>
  <si>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</si>
  <si>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</si>
  <si>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</si>
  <si>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</si>
  <si>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</si>
  <si>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</si>
  <si>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</si>
  <si>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</si>
  <si>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</si>
  <si>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</si>
  <si>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</si>
  <si>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</si>
  <si>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</si>
  <si>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</si>
  <si>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</si>
  <si>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</si>
  <si>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</si>
  <si>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</si>
  <si>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</si>
  <si>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</si>
  <si>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</si>
  <si>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</si>
  <si>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</si>
  <si>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</si>
  <si>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</si>
  <si>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</si>
  <si>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</si>
  <si>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</si>
  <si>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</si>
  <si>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</si>
  <si>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</si>
  <si>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</si>
  <si>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</si>
  <si>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</si>
  <si>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</si>
  <si>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</si>
  <si>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</si>
  <si>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</si>
  <si>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</si>
  <si>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</si>
  <si>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</si>
  <si>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</si>
  <si>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</si>
  <si>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</si>
  <si>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</si>
  <si>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</si>
  <si>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</si>
  <si>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</si>
  <si>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</si>
  <si>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</si>
  <si>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</si>
  <si>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</si>
  <si>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</si>
  <si>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</si>
  <si>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</si>
  <si>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</si>
  <si>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</si>
  <si>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</si>
  <si>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</si>
  <si>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</si>
  <si>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</si>
  <si>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</si>
  <si>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</si>
  <si>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</si>
  <si>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</si>
  <si>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</si>
  <si>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</si>
  <si>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</si>
  <si>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</si>
  <si>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</si>
  <si>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</si>
  <si>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</si>
  <si>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</si>
  <si>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</si>
  <si>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</si>
  <si>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</si>
  <si>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</si>
  <si>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</si>
  <si>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</si>
  <si>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</si>
  <si>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</si>
  <si>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</si>
  <si>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</si>
  <si>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</si>
  <si>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</si>
  <si>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</si>
  <si>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</si>
  <si>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</si>
  <si>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</si>
  <si>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</si>
  <si>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</si>
  <si>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</si>
  <si>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</si>
  <si>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</si>
  <si>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</si>
  <si>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</si>
  <si>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</si>
  <si>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</si>
  <si>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</si>
  <si>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</si>
  <si>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</si>
  <si>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</si>
  <si>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</si>
  <si>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</si>
  <si>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</si>
  <si>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</si>
  <si>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</si>
  <si>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</si>
  <si>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</si>
  <si>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</si>
  <si>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</si>
  <si>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</si>
  <si>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</si>
  <si>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</si>
  <si>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</si>
  <si>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</si>
  <si>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</si>
  <si>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</si>
  <si>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</si>
  <si>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</si>
  <si>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</si>
  <si>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</si>
  <si>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</si>
  <si>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</si>
  <si>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</si>
  <si>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</si>
  <si>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</si>
  <si>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</si>
  <si>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</si>
  <si>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</si>
  <si>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</si>
  <si>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</si>
  <si>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</si>
  <si>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</si>
  <si>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</si>
  <si>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</si>
  <si>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</si>
  <si>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</si>
  <si>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</si>
  <si>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</si>
  <si>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</si>
  <si>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</si>
  <si>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</si>
  <si>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</si>
  <si>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</si>
  <si>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</si>
  <si>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</si>
  <si>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</si>
  <si>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</si>
  <si>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</si>
  <si>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</si>
  <si>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</si>
  <si>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</si>
  <si>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</si>
  <si>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</si>
  <si>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</si>
  <si>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</si>
  <si>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</si>
  <si>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</si>
  <si>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</si>
  <si>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</si>
  <si>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</si>
  <si>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</si>
  <si>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</si>
  <si>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</si>
  <si>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</si>
  <si>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</si>
  <si>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</si>
  <si>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</si>
  <si>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</si>
  <si>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</si>
  <si>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</si>
  <si>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</si>
  <si>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</si>
  <si>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</si>
  <si>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</si>
  <si>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</si>
  <si>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</si>
  <si>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</si>
  <si>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</si>
  <si>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</si>
  <si>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</si>
  <si>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</si>
  <si>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</si>
  <si>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</si>
  <si>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</si>
  <si>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</si>
  <si>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</si>
  <si>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</si>
  <si>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</si>
  <si>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</si>
  <si>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</si>
  <si>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</si>
  <si>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</si>
  <si>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</si>
  <si>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</si>
  <si>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</si>
  <si>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</si>
  <si>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</si>
  <si>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</si>
  <si>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</si>
  <si>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</si>
  <si>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</si>
  <si>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</si>
  <si>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</si>
  <si>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</si>
  <si>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</si>
  <si>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</si>
  <si>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</si>
  <si>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</si>
  <si>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</si>
  <si>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</si>
  <si>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</si>
  <si>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</si>
  <si>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</si>
  <si>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</si>
  <si>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</si>
  <si>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</si>
  <si>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</si>
  <si>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</si>
  <si>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</si>
  <si>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</si>
  <si>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</si>
  <si>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</si>
  <si>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</si>
  <si>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</si>
  <si>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</si>
  <si>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</si>
  <si>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</si>
  <si>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</si>
  <si>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</si>
  <si>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</si>
  <si>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</si>
  <si>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</si>
  <si>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</si>
  <si>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</si>
  <si>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</si>
  <si>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</si>
  <si>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</si>
  <si>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</si>
  <si>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</si>
  <si>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</si>
  <si>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</si>
  <si>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</si>
  <si>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</si>
  <si>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</si>
  <si>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</si>
  <si>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</si>
  <si>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</si>
  <si>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</si>
  <si>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</si>
  <si>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</si>
  <si>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</si>
  <si>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</si>
  <si>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</si>
  <si>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</si>
  <si>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</si>
  <si>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</si>
  <si>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</si>
  <si>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</si>
  <si>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</si>
  <si>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</si>
  <si>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</si>
  <si>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</si>
  <si>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</si>
  <si>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</si>
  <si>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</si>
  <si>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</si>
  <si>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</si>
  <si>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</si>
  <si>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</si>
  <si>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</si>
  <si>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</si>
  <si>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</si>
  <si>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</si>
  <si>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</si>
  <si>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</si>
  <si>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</si>
  <si>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</si>
  <si>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</si>
  <si>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</si>
  <si>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</si>
  <si>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</si>
  <si>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</si>
  <si>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</si>
  <si>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</si>
  <si>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</si>
  <si>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</si>
  <si>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</si>
  <si>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</si>
  <si>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</si>
  <si>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</si>
  <si>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</si>
  <si>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</si>
  <si>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</si>
  <si>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</si>
  <si>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</si>
  <si>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</si>
  <si>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</si>
  <si>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</si>
  <si>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</si>
  <si>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</si>
  <si>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</si>
  <si>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</si>
  <si>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</si>
  <si>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</si>
  <si>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</si>
  <si>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</si>
  <si>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</si>
  <si>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</si>
  <si>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</si>
  <si>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</si>
  <si>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</si>
  <si>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</si>
  <si>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</si>
  <si>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</si>
  <si>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</si>
  <si>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</si>
  <si>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</si>
  <si>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</si>
  <si>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</si>
  <si>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</si>
  <si>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</si>
  <si>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2" type="noConversion"/>
  </si>
  <si>
    <t>기타직보수</t>
  </si>
  <si>
    <t>공무직(무기계약)근로자보수</t>
  </si>
  <si>
    <t>기간제근로자등보수</t>
  </si>
  <si>
    <t>202-01</t>
    <phoneticPr fontId="92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</si>
  <si>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</si>
  <si>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</si>
  <si>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</si>
  <si>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</si>
  <si>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</si>
  <si>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</si>
  <si>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</si>
  <si>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</si>
  <si>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</si>
  <si>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</si>
  <si>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</si>
  <si>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</si>
  <si>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</si>
  <si>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</si>
  <si>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</si>
  <si>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</si>
  <si>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</si>
  <si>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</si>
  <si>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</si>
  <si>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</si>
  <si>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</si>
  <si>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</si>
  <si>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</si>
  <si>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</si>
  <si>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</si>
  <si>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</si>
  <si>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</si>
  <si>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</si>
  <si>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</si>
  <si>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</si>
  <si>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</si>
  <si>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</si>
  <si>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</si>
  <si>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</si>
  <si>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</si>
  <si>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</si>
  <si>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</si>
  <si>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</si>
  <si>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</si>
  <si>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</si>
  <si>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</si>
  <si>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</si>
  <si>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</si>
  <si>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</si>
  <si>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</si>
  <si>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</si>
  <si>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</si>
  <si>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</si>
  <si>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</si>
  <si>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</si>
  <si>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</si>
  <si>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</si>
  <si>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</si>
  <si>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</si>
  <si>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</si>
  <si>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</si>
  <si>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</si>
  <si>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</si>
  <si>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</si>
  <si>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</si>
  <si>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</si>
  <si>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</si>
  <si>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</si>
  <si>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</si>
  <si>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</si>
  <si>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</si>
  <si>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</si>
  <si>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</si>
  <si>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</si>
  <si>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</si>
  <si>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</si>
  <si>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</si>
  <si>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</si>
  <si>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</si>
  <si>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</si>
  <si>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</si>
  <si>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</si>
  <si>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</si>
  <si>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</si>
  <si>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</si>
  <si>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</si>
  <si>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</si>
  <si>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</si>
  <si>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</si>
  <si>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</si>
  <si>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</si>
  <si>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</si>
  <si>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</si>
  <si>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</si>
  <si>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</si>
  <si>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</si>
  <si>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</si>
  <si>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</si>
  <si>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</si>
  <si>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</si>
  <si>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</si>
  <si>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</si>
  <si>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</si>
  <si>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</si>
  <si>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</si>
  <si>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</si>
  <si>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</si>
  <si>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</si>
  <si>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</si>
  <si>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</si>
  <si>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</si>
  <si>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</si>
  <si>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</si>
  <si>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</si>
  <si>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</si>
  <si>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</si>
  <si>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</si>
  <si>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</si>
  <si>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</si>
  <si>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</si>
  <si>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</si>
  <si>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</si>
  <si>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</si>
  <si>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</si>
  <si>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</si>
  <si>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</si>
  <si>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</si>
  <si>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</si>
  <si>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</si>
  <si>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</si>
  <si>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</si>
  <si>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</si>
  <si>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</si>
  <si>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</si>
  <si>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</si>
  <si>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</si>
  <si>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</si>
  <si>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</si>
  <si>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</si>
  <si>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</si>
  <si>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</si>
  <si>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</si>
  <si>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</si>
  <si>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</si>
  <si>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</si>
  <si>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</si>
  <si>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</si>
  <si>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</si>
  <si>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</si>
  <si>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</si>
  <si>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</si>
  <si>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</si>
  <si>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</si>
  <si>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</si>
  <si>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</si>
  <si>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</si>
  <si>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</si>
  <si>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</si>
  <si>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</si>
  <si>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</si>
  <si>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</si>
  <si>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</si>
  <si>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</si>
  <si>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</si>
  <si>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</si>
  <si>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</si>
  <si>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</si>
  <si>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</si>
  <si>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</si>
  <si>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</si>
  <si>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</si>
  <si>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</si>
  <si>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</si>
  <si>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</si>
  <si>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</si>
  <si>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</si>
  <si>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</si>
  <si>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</si>
  <si>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</si>
  <si>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</si>
  <si>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</si>
  <si>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</si>
  <si>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</si>
  <si>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</si>
  <si>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</si>
  <si>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</si>
  <si>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</si>
  <si>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</si>
  <si>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</si>
  <si>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</si>
  <si>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</si>
  <si>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</si>
  <si>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</si>
  <si>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</si>
  <si>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</si>
  <si>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</si>
  <si>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</si>
  <si>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</si>
  <si>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</si>
  <si>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</si>
  <si>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</si>
  <si>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</si>
  <si>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</si>
  <si>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</si>
  <si>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</si>
  <si>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</si>
  <si>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</si>
  <si>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</si>
  <si>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</si>
  <si>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</si>
  <si>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</si>
  <si>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</si>
  <si>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</si>
  <si>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</si>
  <si>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</si>
  <si>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</si>
  <si>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</si>
  <si>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</si>
  <si>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</si>
  <si>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</si>
  <si>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</si>
  <si>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</si>
  <si>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</si>
  <si>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</si>
  <si>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</si>
  <si>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</si>
  <si>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</si>
  <si>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</si>
  <si>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</si>
  <si>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</si>
  <si>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</si>
  <si>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</si>
  <si>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</si>
  <si>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</si>
  <si>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</si>
  <si>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</si>
  <si>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</si>
  <si>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</si>
  <si>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</si>
  <si>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</si>
  <si>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</si>
  <si>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</si>
  <si>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</si>
  <si>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</si>
  <si>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</si>
  <si>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</si>
  <si>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</si>
  <si>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</si>
  <si>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</si>
  <si>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</si>
  <si>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</si>
  <si>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</si>
  <si>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</si>
  <si>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</si>
  <si>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</si>
  <si>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</si>
  <si>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</si>
  <si>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</si>
  <si>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</si>
  <si>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</si>
  <si>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</si>
  <si>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</si>
  <si>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</si>
  <si>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</si>
  <si>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</si>
  <si>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</si>
  <si>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</si>
  <si>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</si>
  <si>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</si>
  <si>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</si>
  <si>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</si>
  <si>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</si>
  <si>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</si>
  <si>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</si>
  <si>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</si>
  <si>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</si>
  <si>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</si>
  <si>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</si>
  <si>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</si>
  <si>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</si>
  <si>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</si>
  <si>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</si>
  <si>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</si>
  <si>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</si>
  <si>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</si>
  <si>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</si>
  <si>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</si>
  <si>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</si>
  <si>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</si>
  <si>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</si>
  <si>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</si>
  <si>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</si>
  <si>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</si>
  <si>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</si>
  <si>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</si>
  <si>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</si>
  <si>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</si>
  <si>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</si>
  <si>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</si>
  <si>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</si>
  <si>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</si>
  <si>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</si>
  <si>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</si>
  <si>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</si>
  <si>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</si>
  <si>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</si>
  <si>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</si>
  <si>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</si>
  <si>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</si>
  <si>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</si>
  <si>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</si>
  <si>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</si>
  <si>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</si>
  <si>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</si>
  <si>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</si>
  <si>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</si>
  <si>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</si>
  <si>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</si>
  <si>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</si>
  <si>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</si>
  <si>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</si>
  <si>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</si>
  <si>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</si>
  <si>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</si>
  <si>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</si>
  <si>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</si>
  <si>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</si>
  <si>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</si>
  <si>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</si>
  <si>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</si>
  <si>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</si>
  <si>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</si>
  <si>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</si>
  <si>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</si>
  <si>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</si>
  <si>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</si>
  <si>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</si>
  <si>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</si>
  <si>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</si>
  <si>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</si>
  <si>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</si>
  <si>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</si>
  <si>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</si>
  <si>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</si>
  <si>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</si>
  <si>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</si>
  <si>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</si>
  <si>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</si>
  <si>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</si>
  <si>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</si>
  <si>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</si>
  <si>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</si>
  <si>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</si>
  <si>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</si>
  <si>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</si>
  <si>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</si>
  <si>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</si>
  <si>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</si>
  <si>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</si>
  <si>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</si>
  <si>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</si>
  <si>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</si>
  <si>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</si>
  <si>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</si>
  <si>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</si>
  <si>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</si>
  <si>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</si>
  <si>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</si>
  <si>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</si>
  <si>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</si>
  <si>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</si>
  <si>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</si>
  <si>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</si>
  <si>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</si>
  <si>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</si>
  <si>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</si>
  <si>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</si>
  <si>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</si>
  <si>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</si>
  <si>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</si>
  <si>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</si>
  <si>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</si>
  <si>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</si>
  <si>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</si>
  <si>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</si>
  <si>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</si>
  <si>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</si>
  <si>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</si>
  <si>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</si>
  <si>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</si>
  <si>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</si>
  <si>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</si>
  <si>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</si>
  <si>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</si>
  <si>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</si>
  <si>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</si>
  <si>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</si>
  <si>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</si>
  <si>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</si>
  <si>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</si>
  <si>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</si>
  <si>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</si>
  <si>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</si>
  <si>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</si>
  <si>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</si>
  <si>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</si>
  <si>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</si>
  <si>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</si>
  <si>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</si>
  <si>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</si>
  <si>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</si>
  <si>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</si>
  <si>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</si>
  <si>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</si>
  <si>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</si>
  <si>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</si>
  <si>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</si>
  <si>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</si>
  <si>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</si>
  <si>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</si>
  <si>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</si>
  <si>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</si>
  <si>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</si>
  <si>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</si>
  <si>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</si>
  <si>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</si>
  <si>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</si>
  <si>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</si>
  <si>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</si>
  <si>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</si>
  <si>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</si>
  <si>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</si>
  <si>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</si>
  <si>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</si>
  <si>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</si>
  <si>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</si>
  <si>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</si>
  <si>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</si>
  <si>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</si>
  <si>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</si>
  <si>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</si>
  <si>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</si>
  <si>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</si>
  <si>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</si>
  <si>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</si>
  <si>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</si>
  <si>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</si>
  <si>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</si>
  <si>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</si>
  <si>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</si>
  <si>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</si>
  <si>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</si>
  <si>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</si>
  <si>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</si>
  <si>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</si>
  <si>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</si>
  <si>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</si>
  <si>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</si>
  <si>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</si>
  <si>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</si>
  <si>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</si>
  <si>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</si>
  <si>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</si>
  <si>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</si>
  <si>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</si>
  <si>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</si>
  <si>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</si>
  <si>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</si>
  <si>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</si>
  <si>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</si>
  <si>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</si>
  <si>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</si>
  <si>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</si>
  <si>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</si>
  <si>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</si>
  <si>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</si>
  <si>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</si>
  <si>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</si>
  <si>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</si>
  <si>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</si>
  <si>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</si>
  <si>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</si>
  <si>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</si>
  <si>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</si>
  <si>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</si>
  <si>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</si>
  <si>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</si>
  <si>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</si>
  <si>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</si>
  <si>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</si>
  <si>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</si>
  <si>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</si>
  <si>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</si>
  <si>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</si>
  <si>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</si>
  <si>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</si>
  <si>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</si>
  <si>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</si>
  <si>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</si>
  <si>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</si>
  <si>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</si>
  <si>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</si>
  <si>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</si>
  <si>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</si>
  <si>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</si>
  <si>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</si>
  <si>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</si>
  <si>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</si>
  <si>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</si>
  <si>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</si>
  <si>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</si>
  <si>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</si>
  <si>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</si>
  <si>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</si>
  <si>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</si>
  <si>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</si>
  <si>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</si>
  <si>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</si>
  <si>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</si>
  <si>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</si>
  <si>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</si>
  <si>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</si>
  <si>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</si>
  <si>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</si>
  <si>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</si>
  <si>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</si>
  <si>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</si>
  <si>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</si>
  <si>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</si>
  <si>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</si>
  <si>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</si>
  <si>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</si>
  <si>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</si>
  <si>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</si>
  <si>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</si>
  <si>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</si>
  <si>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</si>
  <si>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</si>
  <si>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</si>
  <si>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</si>
  <si>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</si>
  <si>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</si>
  <si>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</si>
  <si>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</si>
  <si>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</si>
  <si>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</si>
  <si>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</si>
  <si>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</si>
  <si>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</si>
  <si>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</si>
  <si>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</si>
  <si>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</si>
  <si>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</si>
  <si>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</si>
  <si>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</si>
  <si>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</si>
  <si>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</si>
  <si>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</si>
  <si>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</si>
  <si>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</si>
  <si>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</si>
  <si>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</si>
  <si>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</si>
  <si>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</si>
  <si>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</si>
  <si>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</si>
  <si>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</si>
  <si>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</si>
  <si>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</si>
  <si>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</si>
  <si>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</si>
  <si>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</si>
  <si>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</si>
  <si>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</si>
  <si>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</si>
  <si>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</si>
  <si>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</si>
  <si>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</si>
  <si>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</si>
  <si>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</si>
  <si>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</si>
  <si>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</si>
  <si>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</si>
  <si>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</si>
  <si>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</si>
  <si>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</si>
  <si>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</si>
  <si>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</si>
  <si>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</si>
  <si>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</si>
  <si>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</si>
  <si>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</si>
  <si>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</si>
  <si>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</si>
  <si>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</si>
  <si>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</si>
  <si>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</si>
  <si>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</si>
  <si>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</si>
  <si>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</si>
  <si>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</si>
  <si>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</si>
  <si>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</si>
  <si>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</si>
  <si>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</si>
  <si>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</si>
  <si>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</si>
  <si>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</si>
  <si>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</si>
  <si>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</si>
  <si>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</si>
  <si>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</si>
  <si>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</si>
  <si>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</si>
  <si>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</si>
  <si>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</si>
  <si>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</si>
  <si>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</si>
  <si>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</si>
  <si>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</si>
  <si>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</si>
  <si>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</si>
  <si>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</si>
  <si>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</si>
  <si>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</si>
  <si>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</si>
  <si>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</si>
  <si>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</si>
  <si>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</si>
  <si>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</si>
  <si>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</si>
  <si>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</si>
  <si>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</si>
  <si>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</si>
  <si>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</si>
  <si>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</si>
  <si>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</si>
  <si>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</si>
  <si>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</si>
  <si>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</si>
  <si>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</si>
  <si>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</si>
  <si>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</si>
  <si>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</si>
  <si>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</si>
  <si>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</si>
  <si>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</si>
  <si>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</si>
  <si>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</si>
  <si>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</si>
  <si>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</si>
  <si>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</si>
  <si>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</si>
  <si>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</si>
  <si>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</si>
  <si>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</si>
  <si>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</si>
  <si>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</si>
  <si>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</si>
  <si>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</si>
  <si>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</si>
  <si>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</si>
  <si>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</si>
  <si>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</si>
  <si>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</si>
  <si>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</si>
  <si>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</si>
  <si>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</si>
  <si>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</si>
  <si>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</si>
  <si>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</si>
  <si>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</si>
  <si>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</si>
  <si>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</si>
  <si>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</si>
  <si>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</si>
  <si>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</si>
  <si>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</si>
  <si>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</si>
  <si>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</si>
  <si>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</si>
  <si>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</si>
  <si>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</si>
  <si>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</si>
  <si>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</si>
  <si>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</si>
  <si>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</si>
  <si>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</si>
  <si>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</si>
  <si>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</si>
  <si>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</si>
  <si>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</si>
  <si>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</si>
  <si>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</si>
  <si>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</si>
  <si>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</si>
  <si>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</si>
  <si>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</si>
  <si>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</si>
  <si>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</si>
  <si>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</si>
  <si>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</si>
  <si>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</si>
  <si>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</si>
  <si>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</si>
  <si>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</si>
  <si>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</si>
  <si>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</si>
  <si>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</si>
  <si>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</si>
  <si>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</si>
  <si>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</si>
  <si>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</si>
  <si>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</si>
  <si>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</si>
  <si>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</si>
  <si>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</si>
  <si>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</si>
  <si>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</si>
  <si>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</si>
  <si>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</si>
  <si>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</si>
  <si>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</si>
  <si>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</si>
  <si>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</si>
  <si>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</si>
  <si>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</si>
  <si>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</si>
  <si>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</si>
  <si>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</si>
  <si>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</si>
  <si>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</si>
  <si>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</si>
  <si>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</si>
  <si>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</si>
  <si>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</si>
  <si>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</si>
  <si>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</si>
  <si>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</si>
  <si>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</si>
  <si>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</si>
  <si>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</si>
  <si>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</si>
  <si>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</si>
  <si>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</si>
  <si>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</si>
  <si>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</si>
  <si>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</si>
  <si>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</si>
  <si>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</si>
  <si>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</si>
  <si>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</si>
  <si>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</si>
  <si>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</si>
  <si>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</si>
  <si>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</si>
  <si>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</si>
  <si>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</si>
  <si>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</si>
  <si>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</si>
  <si>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</si>
  <si>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</si>
  <si>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</si>
  <si>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</si>
  <si>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</si>
  <si>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</si>
  <si>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</si>
  <si>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</si>
  <si>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</si>
  <si>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</si>
  <si>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</si>
  <si>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</si>
  <si>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</si>
  <si>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</si>
  <si>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</si>
  <si>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</si>
  <si>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(증감=B-A)</t>
    <phoneticPr fontId="17" type="noConversion"/>
  </si>
  <si>
    <t>(건설국-도로정책과)</t>
  </si>
  <si>
    <t>(변경=B)</t>
    <phoneticPr fontId="17" type="noConversion"/>
  </si>
  <si>
    <t>○ 사업기간 변경</t>
    <phoneticPr fontId="17" type="noConversion"/>
  </si>
  <si>
    <t>(당초=A)</t>
    <phoneticPr fontId="17" type="noConversion"/>
  </si>
  <si>
    <t>○ 연도별 예산액 변경</t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</si>
  <si>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</si>
  <si>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</si>
  <si>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</si>
  <si>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</si>
  <si>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</si>
  <si>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</si>
  <si>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</si>
  <si>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</si>
  <si>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</si>
  <si>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</si>
  <si>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</si>
  <si>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</si>
  <si>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</si>
  <si>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</si>
  <si>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</si>
  <si>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</si>
  <si>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</si>
  <si>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</si>
  <si>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</si>
  <si>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</si>
  <si>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</si>
  <si>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</si>
  <si>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</si>
  <si>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</si>
  <si>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</si>
  <si>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</si>
  <si>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</si>
  <si>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</si>
  <si>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</si>
  <si>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</si>
  <si>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</si>
  <si>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</si>
  <si>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</si>
  <si>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</si>
  <si>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</si>
  <si>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</si>
  <si>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</si>
  <si>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</si>
  <si>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</si>
  <si>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</si>
  <si>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</si>
  <si>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</si>
  <si>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</si>
  <si>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최종 이월조서 : 25년 본예산</t>
    <phoneticPr fontId="17" type="noConversion"/>
  </si>
  <si>
    <t>(소방재난본부-회계장비담당관)</t>
  </si>
  <si>
    <t xml:space="preserve">       (변경) 2025~2028</t>
    <phoneticPr fontId="17" type="noConversion"/>
  </si>
  <si>
    <t xml:space="preserve">      (당초) 2025~2027 →</t>
    <phoneticPr fontId="17" type="noConversion"/>
  </si>
  <si>
    <t xml:space="preserve"> · 기   간 : 2025~2028</t>
  </si>
  <si>
    <t xml:space="preserve">      수행으로 사업기간 연장</t>
    <phoneticPr fontId="17" type="noConversion"/>
  </si>
  <si>
    <t xml:space="preserve">   - 사전행정절차(건축기획용역 등)</t>
    <phoneticPr fontId="17" type="noConversion"/>
  </si>
  <si>
    <t xml:space="preserve">               지상 2층</t>
  </si>
  <si>
    <t xml:space="preserve">               연면적 990㎡</t>
  </si>
  <si>
    <t xml:space="preserve">      예산(인증비 등)만 요구</t>
    <phoneticPr fontId="17" type="noConversion"/>
  </si>
  <si>
    <t xml:space="preserve"> · 사업량 : 부지 2,000㎡</t>
  </si>
  <si>
    <t xml:space="preserve">      으로 공정상 당해년도 필요</t>
    <phoneticPr fontId="17" type="noConversion"/>
  </si>
  <si>
    <t xml:space="preserve">                901-1, 875</t>
  </si>
  <si>
    <t xml:space="preserve">   - 현재 설계진행 중(26.4월 착수)</t>
    <phoneticPr fontId="17" type="noConversion"/>
  </si>
  <si>
    <t xml:space="preserve"> · 위   치 : 고양시 덕양구 대자동</t>
  </si>
  <si>
    <t>○ 연도별 예산액 변경</t>
    <phoneticPr fontId="17" type="noConversion"/>
  </si>
  <si>
    <t>○ 고양 관산119안전센터 신축</t>
  </si>
  <si>
    <t>최종 이월조서 : 25년 2추</t>
    <phoneticPr fontId="17" type="noConversion"/>
  </si>
  <si>
    <t xml:space="preserve">                지상 2층</t>
  </si>
  <si>
    <t xml:space="preserve">     조정 필요</t>
    <phoneticPr fontId="17" type="noConversion"/>
  </si>
  <si>
    <t xml:space="preserve">                연면적 990㎡</t>
  </si>
  <si>
    <t xml:space="preserve">     공정상 27년 예산액(공사비)</t>
    <phoneticPr fontId="17" type="noConversion"/>
  </si>
  <si>
    <t xml:space="preserve"> · 사업량 : 부지 3,261㎡</t>
  </si>
  <si>
    <t xml:space="preserve">  - 현재 설계공모 중으로</t>
    <phoneticPr fontId="17" type="noConversion"/>
  </si>
  <si>
    <t xml:space="preserve"> · 위   치 : 양성면 구장리 산 6-1</t>
  </si>
  <si>
    <t>○  안성 양성119안전센터 신축</t>
  </si>
  <si>
    <t xml:space="preserve"> · 기   간 : 2024 ~ 2028</t>
  </si>
  <si>
    <t xml:space="preserve">  예산(안전체험관 추가 설계비) 요구</t>
    <phoneticPr fontId="17" type="noConversion"/>
  </si>
  <si>
    <t xml:space="preserve">  - 부지 3,016.7㎡, 연면적 1,417.02㎡</t>
    <phoneticPr fontId="17" type="noConversion"/>
  </si>
  <si>
    <t xml:space="preserve">    으로 공정상 당해년도 필요</t>
    <phoneticPr fontId="17" type="noConversion"/>
  </si>
  <si>
    <t xml:space="preserve"> · 사업량 : 지상 2층</t>
    <phoneticPr fontId="17" type="noConversion"/>
  </si>
  <si>
    <t xml:space="preserve">  - 현재 설계진행 중(26.2월 착수)</t>
    <phoneticPr fontId="17" type="noConversion"/>
  </si>
  <si>
    <t xml:space="preserve"> · 위   치 : 시흥시 장곡동 953 </t>
  </si>
  <si>
    <t>○ 시흥 장곡119안전센터 신축</t>
  </si>
  <si>
    <t>최종 이월조서 : 26년 본예산</t>
    <phoneticPr fontId="17" type="noConversion"/>
  </si>
  <si>
    <t xml:space="preserve"> (변경) 2026~2029</t>
    <phoneticPr fontId="17" type="noConversion"/>
  </si>
  <si>
    <t xml:space="preserve"> (당초) 2026~2028 →</t>
    <phoneticPr fontId="17" type="noConversion"/>
  </si>
  <si>
    <t xml:space="preserve">    따른 토지매입 지연</t>
    <phoneticPr fontId="17" type="noConversion"/>
  </si>
  <si>
    <t xml:space="preserve"> - 국가 철도부지 매입계획 변경에</t>
    <phoneticPr fontId="17" type="noConversion"/>
  </si>
  <si>
    <t xml:space="preserve"> · 기   간 : 2026 ~ 2029</t>
    <phoneticPr fontId="17" type="noConversion"/>
  </si>
  <si>
    <t xml:space="preserve">   - 토지 3,184㎡, 건물 990㎡</t>
  </si>
  <si>
    <t xml:space="preserve">   예산 수정</t>
    <phoneticPr fontId="17" type="noConversion"/>
  </si>
  <si>
    <t xml:space="preserve"> · 사업량 : 지상 2층</t>
  </si>
  <si>
    <t xml:space="preserve">   300,000천원) 으로 연도별 배정</t>
    <phoneticPr fontId="17" type="noConversion"/>
  </si>
  <si>
    <t xml:space="preserve">                144-26외 3필지</t>
  </si>
  <si>
    <t xml:space="preserve"> - 26년 2추경 감액(설계비 준공금</t>
    <phoneticPr fontId="17" type="noConversion"/>
  </si>
  <si>
    <t xml:space="preserve"> · 위   치 : 동두천시 상봉암동</t>
  </si>
  <si>
    <t>○ 동두천 소요119안전센터 이전</t>
  </si>
  <si>
    <t xml:space="preserve"> (변경) 2025~2029</t>
    <phoneticPr fontId="17" type="noConversion"/>
  </si>
  <si>
    <t xml:space="preserve"> (당초) 2025~2028 →</t>
    <phoneticPr fontId="17" type="noConversion"/>
  </si>
  <si>
    <t xml:space="preserve">    (8개월) 추가 소요로 기간 연장</t>
    <phoneticPr fontId="17" type="noConversion"/>
  </si>
  <si>
    <t xml:space="preserve"> - 도시계획시설 결정 용역기간</t>
    <phoneticPr fontId="17" type="noConversion"/>
  </si>
  <si>
    <t xml:space="preserve"> · 기   간 : 2025 ~ 2029</t>
    <phoneticPr fontId="17" type="noConversion"/>
  </si>
  <si>
    <t xml:space="preserve">  - 부지 2,918㎡, 연면적 1,496㎡</t>
  </si>
  <si>
    <t xml:space="preserve">    예산 수정</t>
    <phoneticPr fontId="17" type="noConversion"/>
  </si>
  <si>
    <t xml:space="preserve"> · 사업량 : 지상 3층</t>
  </si>
  <si>
    <t xml:space="preserve">    300,000천원)으로 연도별 배정</t>
    <phoneticPr fontId="17" type="noConversion"/>
  </si>
  <si>
    <t xml:space="preserve">                532-1 포함 4필지</t>
    <phoneticPr fontId="17" type="noConversion"/>
  </si>
  <si>
    <t xml:space="preserve"> · 위   치 : 화성시 마도면 백곡리 </t>
    <phoneticPr fontId="17" type="noConversion"/>
  </si>
  <si>
    <t>○ 화성 마도화학구조119안전센터 신축</t>
  </si>
  <si>
    <t>최종 이월조서 : '25년 2추</t>
    <phoneticPr fontId="17" type="noConversion"/>
  </si>
  <si>
    <t xml:space="preserve"> · 기   간 : 2024 ~ 2029</t>
  </si>
  <si>
    <t xml:space="preserve">              지하 1층/지상 4층 </t>
    <phoneticPr fontId="17" type="noConversion"/>
  </si>
  <si>
    <t xml:space="preserve">              연면적 6,089㎡</t>
    <phoneticPr fontId="17" type="noConversion"/>
  </si>
  <si>
    <t xml:space="preserve"> · 사업량 : 부지 7,310㎡</t>
  </si>
  <si>
    <t xml:space="preserve">    300,000천원) 으로 연도별 배정</t>
    <phoneticPr fontId="17" type="noConversion"/>
  </si>
  <si>
    <t xml:space="preserve">               영덕동 1116번지</t>
  </si>
  <si>
    <t xml:space="preserve"> · 위   치 : 용인특례시 기흥구</t>
  </si>
  <si>
    <t>○ 용인서부소방서 신청사 건립</t>
  </si>
  <si>
    <t>최종 이월조서 : 23년 본예산</t>
    <phoneticPr fontId="17" type="noConversion"/>
  </si>
  <si>
    <t xml:space="preserve"> (당초)2021~2028→(변경)2022~2031</t>
    <phoneticPr fontId="17" type="noConversion"/>
  </si>
  <si>
    <t>(철도항만물류국-철도건설과)</t>
    <phoneticPr fontId="17" type="noConversion"/>
  </si>
  <si>
    <t xml:space="preserve">   반영(대광위 고시 제2024-918호)</t>
    <phoneticPr fontId="17" type="noConversion"/>
  </si>
  <si>
    <r>
      <t xml:space="preserve">○ 사업기간 변경 : </t>
    </r>
    <r>
      <rPr>
        <sz val="9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</si>
  <si>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· 기   간 : 2021~2031</t>
    <phoneticPr fontId="17" type="noConversion"/>
  </si>
  <si>
    <t xml:space="preserve"> 총사업비 증가</t>
    <phoneticPr fontId="17" type="noConversion"/>
  </si>
  <si>
    <t xml:space="preserve">  정거장8개소, 차량기지1개소</t>
    <phoneticPr fontId="17" type="noConversion"/>
  </si>
  <si>
    <t xml:space="preserve"> 반영 및 물가변동 반영 등에 따른 </t>
    <phoneticPr fontId="17" type="noConversion"/>
  </si>
  <si>
    <t xml:space="preserve"> · 사업량 :  L=17.59㎞, </t>
    <phoneticPr fontId="17" type="noConversion"/>
  </si>
  <si>
    <r>
      <t xml:space="preserve">○ 총사업비 변경 : </t>
    </r>
    <r>
      <rPr>
        <sz val="9"/>
        <color theme="1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</si>
  <si>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               남양주 왕숙 </t>
    <phoneticPr fontId="17" type="noConversion"/>
  </si>
  <si>
    <t>26년 2회추경에 따른 연도별 집행계획 변경</t>
    <phoneticPr fontId="17" type="noConversion"/>
  </si>
  <si>
    <t xml:space="preserve"> · 위   치 : 서울시 강동~하남 미사~</t>
    <phoneticPr fontId="17" type="noConversion"/>
  </si>
  <si>
    <t>○강동하남남양주선 광역철도</t>
    <phoneticPr fontId="17" type="noConversion"/>
  </si>
  <si>
    <t>시설부대비</t>
    <phoneticPr fontId="17" type="noConversion"/>
  </si>
  <si>
    <t xml:space="preserve">   제2025-05호(2025.7.25.)</t>
    <phoneticPr fontId="17" type="noConversion"/>
  </si>
  <si>
    <t>감리비</t>
    <phoneticPr fontId="17" type="noConversion"/>
  </si>
  <si>
    <t xml:space="preserve"> - 대도시권광역교통위원회 고시 </t>
    <phoneticPr fontId="17" type="noConversion"/>
  </si>
  <si>
    <t>시설비</t>
    <phoneticPr fontId="17" type="noConversion"/>
  </si>
  <si>
    <t>기본계획 승인내역 반영</t>
    <phoneticPr fontId="17" type="noConversion"/>
  </si>
  <si>
    <t xml:space="preserve"> · 기   간 : 2022 ~ 2032</t>
    <phoneticPr fontId="17" type="noConversion"/>
  </si>
  <si>
    <t>○총사업비 변경</t>
    <phoneticPr fontId="17" type="noConversion"/>
  </si>
  <si>
    <t xml:space="preserve">               정거장 6개소</t>
    <phoneticPr fontId="17" type="noConversion"/>
  </si>
  <si>
    <t xml:space="preserve"> · 사업량 : L=11.7km </t>
    <phoneticPr fontId="17" type="noConversion"/>
  </si>
  <si>
    <t>26년 2회추경에 따른 연도별 예산액 변경</t>
    <phoneticPr fontId="17" type="noConversion"/>
  </si>
  <si>
    <t xml:space="preserve"> · 위   치 : 하남시 감일동~신장동</t>
    <phoneticPr fontId="17" type="noConversion"/>
  </si>
  <si>
    <t xml:space="preserve">○ 연도별 예산액 변경 </t>
    <phoneticPr fontId="17" type="noConversion"/>
  </si>
  <si>
    <t>○ 송파하남선 광역철도</t>
    <phoneticPr fontId="17" type="noConversion"/>
  </si>
  <si>
    <t>최종 이월조서 : 25년 2회추경</t>
    <phoneticPr fontId="17" type="noConversion"/>
  </si>
  <si>
    <t>공기관등에대한
경상적위탁사업비</t>
    <phoneticPr fontId="17" type="noConversion"/>
  </si>
  <si>
    <t xml:space="preserve">   → (변경) 2017~2028</t>
    <phoneticPr fontId="17" type="noConversion"/>
  </si>
  <si>
    <t xml:space="preserve"> - (당초) 2017~2027</t>
    <phoneticPr fontId="17" type="noConversion"/>
  </si>
  <si>
    <t xml:space="preserve">   (2026.7.20.)호) </t>
    <phoneticPr fontId="17" type="noConversion"/>
  </si>
  <si>
    <t xml:space="preserve"> · 기   간 : 2017 ~ 2028</t>
    <phoneticPr fontId="17" type="noConversion"/>
  </si>
  <si>
    <t xml:space="preserve">   (국토교통부 재정담당관-8157</t>
    <phoneticPr fontId="17" type="noConversion"/>
  </si>
  <si>
    <t>단선전철, 정거장 3개소</t>
    <phoneticPr fontId="17" type="noConversion"/>
  </si>
  <si>
    <t xml:space="preserve"> - 총사업비 및 사업기간 조정결과 반영</t>
    <phoneticPr fontId="17" type="noConversion"/>
  </si>
  <si>
    <t>○ 총사업비 및 사업기간 변경</t>
    <phoneticPr fontId="17" type="noConversion"/>
  </si>
  <si>
    <t xml:space="preserve"> · 사업량 : L=15.1km</t>
    <phoneticPr fontId="17" type="noConversion"/>
  </si>
  <si>
    <t xml:space="preserve"> - 2019년 국비 미교부에 대한 누락 
    사항 수정 반영 </t>
    <phoneticPr fontId="17" type="noConversion"/>
  </si>
  <si>
    <t xml:space="preserve"> 의정부시 ~ 양주시 고읍동</t>
    <phoneticPr fontId="17" type="noConversion"/>
  </si>
  <si>
    <t xml:space="preserve"> - '26년 2회 추경에 따른 집행계획 변경</t>
    <phoneticPr fontId="17" type="noConversion"/>
  </si>
  <si>
    <t xml:space="preserve"> · 위   치 : 서울시 도봉구 ~</t>
    <phoneticPr fontId="17" type="noConversion"/>
  </si>
  <si>
    <r>
      <rPr>
        <b/>
        <sz val="9"/>
        <color theme="1"/>
        <rFont val="경기천년바탕 Regular"/>
        <family val="1"/>
        <charset val="129"/>
      </rPr>
      <t>○ 연도별 예산액 변경</t>
    </r>
    <r>
      <rPr>
        <sz val="9"/>
        <color theme="1"/>
        <rFont val="경기천년바탕 Regular"/>
        <family val="1"/>
        <charset val="129"/>
      </rPr>
      <t xml:space="preserve"> </t>
    </r>
    <phoneticPr fontId="17" type="noConversion"/>
  </si>
  <si>
    <t>○도봉산-옥정 광역철도(국비/직접)</t>
    <phoneticPr fontId="17" type="noConversion"/>
  </si>
  <si>
    <t>(철도항만물류국-철도정책과)</t>
    <phoneticPr fontId="17" type="noConversion"/>
  </si>
  <si>
    <t xml:space="preserve"> · 기   간 : 2026~2029</t>
    <phoneticPr fontId="17" type="noConversion"/>
  </si>
  <si>
    <t xml:space="preserve">     통합개발사업 기본계획 수립</t>
    <phoneticPr fontId="17" type="noConversion"/>
  </si>
  <si>
    <t xml:space="preserve">                 용역 연도별 집행계획 변경</t>
    <phoneticPr fontId="17" type="noConversion"/>
  </si>
  <si>
    <t xml:space="preserve"> · 사업량 : 경의중앙선 철도지하화 </t>
    <phoneticPr fontId="17" type="noConversion"/>
  </si>
  <si>
    <t xml:space="preserve"> - (국토부) 지연에 따라 기본계획 수립 </t>
    <phoneticPr fontId="17" type="noConversion"/>
  </si>
  <si>
    <t xml:space="preserve"> · 위   치 : 경의중앙선 파주시 구간</t>
    <phoneticPr fontId="17" type="noConversion"/>
  </si>
  <si>
    <t xml:space="preserve"> - 철도지하화 통합개발 종합계획 발표</t>
    <phoneticPr fontId="17" type="noConversion"/>
  </si>
  <si>
    <t xml:space="preserve">    개발사업(자체/직접)</t>
    <phoneticPr fontId="17" type="noConversion"/>
  </si>
  <si>
    <t>○ 경의중앙선 철도지하화 통합</t>
    <phoneticPr fontId="17" type="noConversion"/>
  </si>
  <si>
    <t xml:space="preserve"> · 사업량 : 경인선 철도지하화 </t>
    <phoneticPr fontId="17" type="noConversion"/>
  </si>
  <si>
    <t xml:space="preserve"> · 위   치 : 경인선 부천시 구간</t>
    <phoneticPr fontId="17" type="noConversion"/>
  </si>
  <si>
    <t xml:space="preserve">    사업(자체/직접)</t>
    <phoneticPr fontId="17" type="noConversion"/>
  </si>
  <si>
    <t>○ 경인선 철도지하화 통합개발</t>
    <phoneticPr fontId="17" type="noConversion"/>
  </si>
  <si>
    <t xml:space="preserve"> · 사업량 : 경부선 철도지하화 </t>
    <phoneticPr fontId="17" type="noConversion"/>
  </si>
  <si>
    <t xml:space="preserve">               의왕시, 평택시</t>
    <phoneticPr fontId="17" type="noConversion"/>
  </si>
  <si>
    <t xml:space="preserve"> · 위   치 : 경부선 안양시, 군포시, </t>
    <phoneticPr fontId="17" type="noConversion"/>
  </si>
  <si>
    <t xml:space="preserve">     사업(자체/직접)</t>
    <phoneticPr fontId="17" type="noConversion"/>
  </si>
  <si>
    <t>○ 경부선 철도지하화 통합개발</t>
    <phoneticPr fontId="17" type="noConversion"/>
  </si>
  <si>
    <t>최종 이월조서 : 25년 3회추경</t>
    <phoneticPr fontId="17" type="noConversion"/>
  </si>
  <si>
    <t xml:space="preserve"> · 기   간 : 2025~2029</t>
    <phoneticPr fontId="17" type="noConversion"/>
  </si>
  <si>
    <t xml:space="preserve">            통합개발사업 추진</t>
    <phoneticPr fontId="17" type="noConversion"/>
  </si>
  <si>
    <t xml:space="preserve"> · 사업량 : 안산선 철도지하화 </t>
    <phoneticPr fontId="17" type="noConversion"/>
  </si>
  <si>
    <t xml:space="preserve">               안산시 구간</t>
    <phoneticPr fontId="17" type="noConversion"/>
  </si>
  <si>
    <t xml:space="preserve"> · 위   치 : 안산선 군포시, </t>
    <phoneticPr fontId="17" type="noConversion"/>
  </si>
  <si>
    <t xml:space="preserve">○ 연도별 예산액 변경  </t>
    <phoneticPr fontId="17" type="noConversion"/>
  </si>
  <si>
    <t xml:space="preserve">○ 안산선 철도지하화 통합개발 </t>
    <phoneticPr fontId="17" type="noConversion"/>
  </si>
  <si>
    <t>최종 이월조서 : 2025년 본예산</t>
  </si>
  <si>
    <t>(증감=B-A)</t>
  </si>
  <si>
    <t>(건설국 - 도로정책과)</t>
  </si>
  <si>
    <t>(변경=B)</t>
  </si>
  <si>
    <t xml:space="preserve"> · 기 간 : 2019 ~ 2031</t>
  </si>
  <si>
    <t xml:space="preserve"> · 사업량 : L=5.6km, B=20m</t>
  </si>
  <si>
    <t xml:space="preserve">           파주시 탄현면 금승리</t>
  </si>
  <si>
    <t>26년 2회 추경에 따른 연도별 예산액 변경</t>
  </si>
  <si>
    <t xml:space="preserve"> · 위 치 : 파주시 야동동~</t>
  </si>
  <si>
    <t>(당초=A)</t>
  </si>
  <si>
    <t>○ 야동-금승 도로확포장(파주)</t>
  </si>
  <si>
    <t xml:space="preserve"> · 기 간 : 2020 ~ 2030</t>
  </si>
  <si>
    <t xml:space="preserve"> · 사업량 : L=5.10km, B=20m</t>
  </si>
  <si>
    <t xml:space="preserve">           파주시 갈현면 축현리</t>
  </si>
  <si>
    <t xml:space="preserve"> · 위 치 : 파주시 탄현면 갈현리~</t>
  </si>
  <si>
    <t>○ 갈현-축현 도로확포장(파주)</t>
  </si>
  <si>
    <t>최종 이월조서 : 2025년 2회 추경</t>
    <phoneticPr fontId="17" type="noConversion"/>
  </si>
  <si>
    <t>△500,000</t>
  </si>
  <si>
    <t xml:space="preserve"> · 기   간 : 2007 ~ 2027</t>
    <phoneticPr fontId="17" type="noConversion"/>
  </si>
  <si>
    <t xml:space="preserve"> · 사업량 : L=3.3㎞, B=20m</t>
  </si>
  <si>
    <t xml:space="preserve">              호법면 매곡리</t>
  </si>
  <si>
    <t>26년 2회 추경에 따른 연도별 예산액 변경</t>
    <phoneticPr fontId="17" type="noConversion"/>
  </si>
  <si>
    <t xml:space="preserve"> · 위   치 : 이천시 마장면 덕평리 ~</t>
  </si>
  <si>
    <t>○ 덕평-매곡 도로확포장(이천)</t>
  </si>
  <si>
    <t xml:space="preserve"> · 기   간 : 2022 ~ 2027</t>
    <phoneticPr fontId="17" type="noConversion"/>
  </si>
  <si>
    <t xml:space="preserve"> · 사업량 : L-2.60km, B=10.0m</t>
  </si>
  <si>
    <t xml:space="preserve">           ~가평군 상면 연하리</t>
  </si>
  <si>
    <t xml:space="preserve"> · 위   치 : 남양주시 수동면 내방리</t>
  </si>
  <si>
    <t>○ 내방-연하 도로확포장(남양주,가평)</t>
  </si>
  <si>
    <t>최종 이월조서 : 2026년 본예산</t>
    <phoneticPr fontId="17" type="noConversion"/>
  </si>
  <si>
    <t xml:space="preserve"> · 기   간 : 2026 ~ 2034</t>
    <phoneticPr fontId="17" type="noConversion"/>
  </si>
  <si>
    <t xml:space="preserve"> · 사업량 : L=2.4km, B=20.0m</t>
  </si>
  <si>
    <t xml:space="preserve">            안성시 양성면 동항리</t>
  </si>
  <si>
    <t xml:space="preserve"> · 위   치 : 안성시 공도읍 용두리 ~</t>
  </si>
  <si>
    <t>○ 안성 공도-양성(2) 도로확포장(안성)</t>
  </si>
  <si>
    <t xml:space="preserve"> · 기   간 : 2024 ~ 2032</t>
    <phoneticPr fontId="17" type="noConversion"/>
  </si>
  <si>
    <t xml:space="preserve"> · 사업량 : L=1.1km, B=11.0m</t>
  </si>
  <si>
    <t xml:space="preserve">            이천시 율면 산양리</t>
  </si>
  <si>
    <t xml:space="preserve"> · 위   치 : 안성시 일죽면 금산리 ~</t>
  </si>
  <si>
    <t>○ 안성 일죽-도계 도로확포장(안성)</t>
  </si>
  <si>
    <t xml:space="preserve"> · 사업량 : L=2.90km, B=18.0m</t>
  </si>
  <si>
    <t xml:space="preserve">            양주시 광적면 비암리</t>
  </si>
  <si>
    <t xml:space="preserve"> · 위   치 : 파주시 광탄면 방축리 ~</t>
  </si>
  <si>
    <t>○ 방축-비암 도로확포장(파주,양주)</t>
  </si>
  <si>
    <t xml:space="preserve"> · 기   간 : 2025 ~ 2033</t>
    <phoneticPr fontId="17" type="noConversion"/>
  </si>
  <si>
    <t xml:space="preserve"> · 사업량 : L=3.70km, B=17.5m</t>
  </si>
  <si>
    <t xml:space="preserve">            용인시 처인구 모현읍 매산리</t>
  </si>
  <si>
    <t xml:space="preserve"> · 위   치 : 용인시 처인구 포곡읍 신원리 ~</t>
  </si>
  <si>
    <t>○ 유운-매산 도로확포장(용인)</t>
  </si>
  <si>
    <t xml:space="preserve"> · 기   간 : 2024 ~ 2029</t>
    <phoneticPr fontId="17" type="noConversion"/>
  </si>
  <si>
    <t xml:space="preserve"> · 사업량 : L=2.13km, B=17.5m</t>
  </si>
  <si>
    <t xml:space="preserve">            안성시 공도읍 신두리</t>
  </si>
  <si>
    <t xml:space="preserve"> · 위   치 : 안성시 공도읍 양기리 ~</t>
  </si>
  <si>
    <t>○ 양기-양지 도로확포장(안성)</t>
  </si>
  <si>
    <t xml:space="preserve"> · 사업량 : L=4.56km, B=10.0m</t>
  </si>
  <si>
    <t xml:space="preserve">            이천시 장호원읍 선읍리</t>
  </si>
  <si>
    <t xml:space="preserve"> · 위   치 : 이천시 설성면 신필리 ~</t>
  </si>
  <si>
    <t>○ 금당-선읍 도로확포장(이천,광주)</t>
  </si>
  <si>
    <t xml:space="preserve"> · 사업량 : L=4.43km, B=20.0m</t>
  </si>
  <si>
    <t xml:space="preserve">            광주시 도척면 유정리</t>
  </si>
  <si>
    <t xml:space="preserve"> · 위   치 : 이천시 마장면 관리 ~</t>
  </si>
  <si>
    <t>○ 관리-유정 도로확포장(이천,광주)</t>
  </si>
  <si>
    <t xml:space="preserve"> · 사업량 : L=4.46km, B=17.5m</t>
  </si>
  <si>
    <t xml:space="preserve">            화성시 정남면 수면리</t>
  </si>
  <si>
    <t xml:space="preserve"> · 위   치 : 화성시 정남면 발산리 ~</t>
  </si>
  <si>
    <t>○ 발산-수면 도로확포장(화성)</t>
  </si>
  <si>
    <t xml:space="preserve"> · 사업량 : L=4.61km, B=17.5m</t>
  </si>
  <si>
    <t xml:space="preserve">            용인시 처인구 이동읍 서리</t>
  </si>
  <si>
    <t xml:space="preserve"> · 위   치 : 용인시 남사면 완장리 ~</t>
  </si>
  <si>
    <t>○ 완장-서리 도로확포장(용인)</t>
  </si>
  <si>
    <t xml:space="preserve"> · 기   간 : 2022 ~ 2028</t>
    <phoneticPr fontId="17" type="noConversion"/>
  </si>
  <si>
    <t xml:space="preserve"> · 사업량 : L-4.67km, B=10.0m</t>
  </si>
  <si>
    <t xml:space="preserve">             ~ 퇴촌면 광동리</t>
  </si>
  <si>
    <t xml:space="preserve"> · 위   치 : 광주시 초월읍 무갑리</t>
  </si>
  <si>
    <t>○ 무갑-광동 도로확포장(광주)</t>
  </si>
  <si>
    <t xml:space="preserve"> · 기   간 : 2021 ~ 2030</t>
    <phoneticPr fontId="17" type="noConversion"/>
  </si>
  <si>
    <t xml:space="preserve"> · 사업량 : L-2.23km, B=10.0m</t>
  </si>
  <si>
    <t xml:space="preserve">             ~ 여주시 점동면 흔암리</t>
  </si>
  <si>
    <t xml:space="preserve"> · 위   치 : 여주시 점동면 처리</t>
  </si>
  <si>
    <t>○ 처리-우만 도로확포장(여주)</t>
  </si>
  <si>
    <t>△150,000</t>
  </si>
  <si>
    <t xml:space="preserve"> · 기 간 : 2020 ~ 2029</t>
    <phoneticPr fontId="17" type="noConversion"/>
  </si>
  <si>
    <t xml:space="preserve"> · 사업량 : L=2.9km, B=9m</t>
  </si>
  <si>
    <t xml:space="preserve">            서종면 도장리</t>
  </si>
  <si>
    <t xml:space="preserve"> · 위 치 : 양평군 서종면 수능리 ~</t>
  </si>
  <si>
    <t>○ 문호-도장 도로확포장(양평)</t>
  </si>
  <si>
    <t xml:space="preserve"> · 기 간 : 2019 ~ 2028</t>
    <phoneticPr fontId="17" type="noConversion"/>
  </si>
  <si>
    <t xml:space="preserve"> · 사업량 : L=2.86km, B=20m</t>
  </si>
  <si>
    <t xml:space="preserve">            신북면 신평리</t>
  </si>
  <si>
    <t xml:space="preserve"> · 위 치 : 포천 신북면 심곡리 ~</t>
  </si>
  <si>
    <t>○ 신평-심곡 도로확포장(포천)</t>
  </si>
  <si>
    <t xml:space="preserve"> · 기   간 : 2023 ~ 2027</t>
    <phoneticPr fontId="17" type="noConversion"/>
  </si>
  <si>
    <t xml:space="preserve"> · 사업량 : L=2.66km, B=20m</t>
  </si>
  <si>
    <t xml:space="preserve">           파주시 문산면 내포리</t>
  </si>
  <si>
    <t xml:space="preserve"> · 위   치 : 파주시 탄현면 축현리 ~</t>
  </si>
  <si>
    <t>○ 축현-내포 도로확포장(파주)</t>
  </si>
  <si>
    <t xml:space="preserve"> · 기   간 : 2017 ~ 2026</t>
    <phoneticPr fontId="17" type="noConversion"/>
  </si>
  <si>
    <t xml:space="preserve"> · 사업량 : L=3.3km, B=20m</t>
  </si>
  <si>
    <t xml:space="preserve">           안성시 양성면 방신리</t>
  </si>
  <si>
    <t xml:space="preserve"> · 위   치 : 안성시 공도읍 만정리 ~</t>
  </si>
  <si>
    <t>○ 공도-양성(1) 도로확포장(안성)</t>
  </si>
  <si>
    <t xml:space="preserve"> · 사업량 : L=3.59km, B=20m</t>
  </si>
  <si>
    <t xml:space="preserve">          ~ 포천시 가산면 마산리</t>
  </si>
  <si>
    <t xml:space="preserve"> · 위   치 : 포천시 소흘읍 하송우리</t>
  </si>
  <si>
    <t>○ 하송우-마산 도로확포장(포천)</t>
  </si>
  <si>
    <t xml:space="preserve"> · 기   간 : 2020 ~ 2029</t>
    <phoneticPr fontId="17" type="noConversion"/>
  </si>
  <si>
    <t xml:space="preserve"> · 사업량 : L=4.52km, B=20m</t>
  </si>
  <si>
    <t xml:space="preserve">         ~ 남양주시 수동면 운수리</t>
  </si>
  <si>
    <t>25년 예산 변경에 따른 예산액 변경</t>
    <phoneticPr fontId="17" type="noConversion"/>
  </si>
  <si>
    <t xml:space="preserve"> · 위   치 : 남양주시 화도읍 마석우리</t>
  </si>
  <si>
    <t>○ 화도-운수 도로확포장(남양주)</t>
  </si>
  <si>
    <t xml:space="preserve"> · 기  간 : 2025 ~ 2032</t>
    <phoneticPr fontId="17" type="noConversion"/>
  </si>
  <si>
    <t xml:space="preserve"> · 사업량 : L=3.44km, B=17.5m</t>
  </si>
  <si>
    <t xml:space="preserve">            충북 도계</t>
  </si>
  <si>
    <t xml:space="preserve"> · 위 치 : 안성시 미양면 양지리</t>
  </si>
  <si>
    <t>○ 성환-입장 국지도건설(안성)</t>
  </si>
  <si>
    <t xml:space="preserve"> · 기  간 : 2026 ~ 2034</t>
    <phoneticPr fontId="17" type="noConversion"/>
  </si>
  <si>
    <t xml:space="preserve"> · 사업량 : L=0.7km, 교차로개량</t>
  </si>
  <si>
    <t xml:space="preserve">            금릉동</t>
  </si>
  <si>
    <t xml:space="preserve"> · 위 치 : 파주시 조리읍 등원리 ~</t>
  </si>
  <si>
    <t>○ 금릉-조리 국지도건설(파주)</t>
  </si>
  <si>
    <t xml:space="preserve"> · 기 간 : 2025 ~ 2032</t>
    <phoneticPr fontId="17" type="noConversion"/>
  </si>
  <si>
    <t xml:space="preserve"> · 사업량 : L=2.5㎞, B=20.0m</t>
  </si>
  <si>
    <t xml:space="preserve">            장흥면 부곡리</t>
  </si>
  <si>
    <t xml:space="preserve"> · 위 치 : 양주시 장흥면 부곡리 ~</t>
  </si>
  <si>
    <t>○ 부곡-부곡 국지도건설(양주)</t>
  </si>
  <si>
    <t xml:space="preserve"> · 기   간 : 2025 ~ 2032</t>
    <phoneticPr fontId="17" type="noConversion"/>
  </si>
  <si>
    <t xml:space="preserve"> · 사업량 : L=4.2km, B=17.5m</t>
  </si>
  <si>
    <t xml:space="preserve">              하성면 마곡리</t>
  </si>
  <si>
    <t xml:space="preserve"> · 위   치 : 김포시 운양동 ~</t>
  </si>
  <si>
    <t>○ 운양-하성 국지도건설(김포)</t>
  </si>
  <si>
    <t xml:space="preserve"> · 기  간 : 2023 ~ 2030</t>
  </si>
  <si>
    <t xml:space="preserve"> · 사업량 : L=4.25km, B=11.5m</t>
    <phoneticPr fontId="17" type="noConversion"/>
  </si>
  <si>
    <t xml:space="preserve">            연천읍 상리</t>
  </si>
  <si>
    <t xml:space="preserve"> · 위 치 : 연천군 군남면 옥계리 ~</t>
  </si>
  <si>
    <t>○ 옥계-상리 국지도건설(연천)</t>
  </si>
  <si>
    <t xml:space="preserve"> · 기   간 : 2021 ~ 2027</t>
    <phoneticPr fontId="17" type="noConversion"/>
  </si>
  <si>
    <t xml:space="preserve"> · 사업량 : L=6.9km, B=17.5m</t>
  </si>
  <si>
    <t xml:space="preserve">             용인시 처인구 남사면</t>
  </si>
  <si>
    <t xml:space="preserve"> · 위   치 : 화성시 장지동 ~</t>
  </si>
  <si>
    <t>○ 장지-남사 국지도건설(화성,용인)</t>
  </si>
  <si>
    <t xml:space="preserve"> · 기 간 : 2021 ~ 2029</t>
    <phoneticPr fontId="17" type="noConversion"/>
  </si>
  <si>
    <t xml:space="preserve"> · 사업량 : L=10.4㎞, B=13.5m</t>
  </si>
  <si>
    <t xml:space="preserve">            양평군 강하면 운심리</t>
  </si>
  <si>
    <t xml:space="preserve"> · 위 치 : 광주시 퇴촌면 광동리 ~</t>
  </si>
  <si>
    <t>○ 광주-양평 국지도건설(광주,양평)</t>
  </si>
  <si>
    <t xml:space="preserve"> · 기   간 : 2020 ~ 2028</t>
    <phoneticPr fontId="17" type="noConversion"/>
  </si>
  <si>
    <t xml:space="preserve"> · 사업량 : L=7.2km, B=17.5m</t>
  </si>
  <si>
    <t xml:space="preserve">            화성시 향남읍 제암리</t>
  </si>
  <si>
    <t xml:space="preserve"> · 위   치 : 화성시 우정읍 어은리 ~</t>
  </si>
  <si>
    <t>○ 우정-향남 국지도건설(화성)</t>
  </si>
  <si>
    <t xml:space="preserve"> · 기 간 : 2020 ~ 2028</t>
    <phoneticPr fontId="17" type="noConversion"/>
  </si>
  <si>
    <t xml:space="preserve"> · 사업량 : L=5.5㎞, B=10m</t>
  </si>
  <si>
    <t xml:space="preserve">            내촌면 신팔리</t>
  </si>
  <si>
    <t xml:space="preserve"> · 위 치 : 포천시 군내면 직두리 ~</t>
  </si>
  <si>
    <t>○ 군내-내촌 국지도건설(포천)</t>
  </si>
  <si>
    <t xml:space="preserve"> · 기   간 : 2019 ~ 2027</t>
    <phoneticPr fontId="17" type="noConversion"/>
  </si>
  <si>
    <t xml:space="preserve"> · 사업량 : L=6.3km, B=10.5~11.75m</t>
  </si>
  <si>
    <t xml:space="preserve">            양주시 백석읍 홍죽리</t>
  </si>
  <si>
    <t xml:space="preserve"> · 위   치 : 양주시 장흥면 부곡리 ~</t>
  </si>
  <si>
    <t>○ 장흥-광적 국지도건설(양주)</t>
  </si>
  <si>
    <t xml:space="preserve"> · 기   간 : 2015 ~ 2028</t>
    <phoneticPr fontId="17" type="noConversion"/>
  </si>
  <si>
    <t xml:space="preserve"> · 사업량 : L=8.13km, B=18.5m</t>
  </si>
  <si>
    <t xml:space="preserve">          남양주시 수동면 지둔리</t>
  </si>
  <si>
    <t xml:space="preserve"> · 위   치 : 남양주시 오남읍 오남리~</t>
  </si>
  <si>
    <t>○ 총사업비, 연도별 예산액 변경</t>
    <phoneticPr fontId="17" type="noConversion"/>
  </si>
  <si>
    <t>○ 오남-수동 국지도건설(냠양주)</t>
  </si>
  <si>
    <t xml:space="preserve"> · 기   간 : 2020 ~ 2026</t>
    <phoneticPr fontId="17" type="noConversion"/>
  </si>
  <si>
    <t xml:space="preserve"> · 사업량 : L=4.3km, B=10.5m</t>
  </si>
  <si>
    <t xml:space="preserve">          남양주시 와부읍 금남리</t>
  </si>
  <si>
    <t xml:space="preserve"> · 위   치 : 남양주시 와부읍 창현리~</t>
    <phoneticPr fontId="17" type="noConversion"/>
  </si>
  <si>
    <t>○ 와부-화도 국지도건설(남양주)</t>
  </si>
  <si>
    <t xml:space="preserve"> · 기   간 : 2015 ~ 2027</t>
    <phoneticPr fontId="17" type="noConversion"/>
  </si>
  <si>
    <t>(자치단체간부담금)</t>
    <phoneticPr fontId="17" type="noConversion"/>
  </si>
  <si>
    <t xml:space="preserve"> · 사업량 : L=8.49km, B=18.5m</t>
  </si>
  <si>
    <t>화성시 송배수관로 설치공사 공사비</t>
    <phoneticPr fontId="17" type="noConversion"/>
  </si>
  <si>
    <t xml:space="preserve">           오산시 벌음동</t>
  </si>
  <si>
    <t xml:space="preserve"> · 위   치 : 화성시 향남면 동오리~</t>
  </si>
  <si>
    <t>○ 갈천-가수 국지도건설(화성,오산)</t>
  </si>
  <si>
    <t>(변경) 2015~2027</t>
    <phoneticPr fontId="17" type="noConversion"/>
  </si>
  <si>
    <t>(당초) 2015~2026</t>
    <phoneticPr fontId="17" type="noConversion"/>
  </si>
  <si>
    <t>준공기한 연장</t>
    <phoneticPr fontId="17" type="noConversion"/>
  </si>
  <si>
    <t xml:space="preserve"> · 사업량 : L=3.86km, B=18.5m</t>
  </si>
  <si>
    <t xml:space="preserve">           광주시 곤지암읍 만선리</t>
  </si>
  <si>
    <t xml:space="preserve"> · 위   치 : 광주시 곤지암읍 열미리~</t>
  </si>
  <si>
    <t>○ 실촌-만선 국지도건설(광주)</t>
    <phoneticPr fontId="17" type="noConversion"/>
  </si>
  <si>
    <t xml:space="preserve">최종 이월조서: '26년 본예산 </t>
    <phoneticPr fontId="17" type="noConversion"/>
  </si>
  <si>
    <t>(자치행정국-총무과)</t>
    <phoneticPr fontId="17" type="noConversion"/>
  </si>
  <si>
    <t xml:space="preserve"> · 기   간 : 2024 ~ 2027</t>
    <phoneticPr fontId="17" type="noConversion"/>
  </si>
  <si>
    <t xml:space="preserve">                   다목적홀, 기계·전기실</t>
    <phoneticPr fontId="17" type="noConversion"/>
  </si>
  <si>
    <t xml:space="preserve">  - (2구역) 제1별관, 행정도서관,</t>
    <phoneticPr fontId="17" type="noConversion"/>
  </si>
  <si>
    <t xml:space="preserve">  - (1구역) 제3별관 일부</t>
    <phoneticPr fontId="17" type="noConversion"/>
  </si>
  <si>
    <t xml:space="preserve">   (총사업비 변경 없음)</t>
    <phoneticPr fontId="17" type="noConversion"/>
  </si>
  <si>
    <t xml:space="preserve"> · 사업량 : 8,610.25㎡ (옛청사 일부)</t>
    <phoneticPr fontId="17" type="noConversion"/>
  </si>
  <si>
    <t xml:space="preserve">  '26년 실집행가능 예산범위 내 조정</t>
    <phoneticPr fontId="17" type="noConversion"/>
  </si>
  <si>
    <t xml:space="preserve"> · 위   치 : 수원시 팔달구 효원로 1</t>
    <phoneticPr fontId="17" type="noConversion"/>
  </si>
  <si>
    <t>○ 경기도기록원 설립사업</t>
    <phoneticPr fontId="17" type="noConversion"/>
  </si>
  <si>
    <t>(단위:천원)</t>
    <phoneticPr fontId="17" type="noConversion"/>
  </si>
  <si>
    <t>2026년도 제2회 추가경정예산 계속비 사업 조서</t>
    <phoneticPr fontId="17" type="noConversion"/>
  </si>
  <si>
    <t>ㄴ</t>
    <phoneticPr fontId="1" type="noConversion"/>
  </si>
  <si>
    <t>기정액
(본예산+1추)
(가)</t>
    <phoneticPr fontId="1" type="noConversion"/>
  </si>
  <si>
    <t>-</t>
  </si>
  <si>
    <t>511-01</t>
  </si>
  <si>
    <t>친환경수산물 인증 직불제</t>
  </si>
  <si>
    <t>해양수산부 양식산업과-4527(2026.9.4.)</t>
  </si>
  <si>
    <t>친환경수산물 인증 직불제(국비/지원)</t>
  </si>
  <si>
    <t>14004-1</t>
  </si>
  <si>
    <t>전문농업인육성(자체/직접)</t>
  </si>
  <si>
    <t>농업경영인 육성</t>
  </si>
  <si>
    <t>농업정책과</t>
    <phoneticPr fontId="1" type="noConversion"/>
  </si>
  <si>
    <t>경기도농수산진흥원 지원(자체/직접)</t>
  </si>
  <si>
    <t>로컬푸드 활성화 기반 조성(전환)(자체/지원)</t>
  </si>
  <si>
    <t>농식품 국제시장 진출 지원(자체/지원)</t>
  </si>
  <si>
    <t>푸드테크기업 등 시설개선 지원(전환)(자체/지원)</t>
  </si>
  <si>
    <t>경기도농수산진흥원 출연</t>
  </si>
  <si>
    <t>로컬푸드 연중생산체계 구축</t>
  </si>
  <si>
    <t>경기도 농수산물 할인쿠폰 지원</t>
  </si>
  <si>
    <t>농식품 국제시장 진출 지원</t>
  </si>
  <si>
    <t>푸드테크기업 등 시설개선 지원</t>
  </si>
  <si>
    <t>면세유 구입비 차액지원</t>
  </si>
  <si>
    <t>화훼 소비 활성화 사업</t>
  </si>
  <si>
    <t>경기도 농수산물 할인쿠폰 지원(자체/직접)</t>
  </si>
  <si>
    <t>308-13</t>
  </si>
  <si>
    <t>경기도 어린이 건강과일 공급사업(자체/지원)</t>
  </si>
  <si>
    <t>농업용 면세유 구입비 긴급지원(자체/지원)</t>
  </si>
  <si>
    <t>화훼 소비 활성화 사업(자체/직접)</t>
  </si>
  <si>
    <t>경기도 어린이 건강과일 공급</t>
  </si>
  <si>
    <t>과수 계약재배농가 출하비 지원(자체/지원)</t>
  </si>
  <si>
    <t>과수 계약재배농가 출하비 지원</t>
  </si>
  <si>
    <t>경기바다 해양레저 관광 활성화(자체/직접)</t>
  </si>
  <si>
    <t>경기바다 해양레저관광 활성화</t>
  </si>
  <si>
    <t>가축분뇨 퇴액비 살포비 지원(기금/지원)</t>
  </si>
  <si>
    <t>조사료 생산 지원(자체/지원)</t>
  </si>
  <si>
    <t>조사료생산용 볏짚비닐지원</t>
  </si>
  <si>
    <t>가축행복농장 지원(자체/지원)</t>
  </si>
  <si>
    <t>가축행복농장 지원</t>
  </si>
  <si>
    <t>511-03</t>
  </si>
  <si>
    <t>612-01</t>
  </si>
  <si>
    <t>가축분뇨 퇴액비 살포비 지원</t>
  </si>
  <si>
    <t>축산정책과 지방채 차입금</t>
  </si>
  <si>
    <t>구제역 예방접종 지원</t>
  </si>
  <si>
    <t>살처분보상금</t>
  </si>
  <si>
    <t>예방약품 등 지원</t>
  </si>
  <si>
    <t>동물방역위생과 지방채 차입금</t>
  </si>
  <si>
    <t>농림축산식품부 축산환경자원화-4694(2026.9.4.)호</t>
  </si>
  <si>
    <t>2026년 가축백신지원(구제역 예방약 등 지원) 변경통보(변경내시) 정정 알림[농림축산식품부 구제역방역과-5836(2026. 8. 18)]</t>
  </si>
  <si>
    <t>2026년 살처분 보상금 국고보조금 교부결정 통지(8차, 수정통보)[농림축산식품부 구제역방역과-5887(2026. 8. 20.) ]</t>
  </si>
  <si>
    <t>2026년 가축방역대응지원사업(소브루셀라병 등 채혈비) 변경통보(변경내시) 알림[농림축산식품부 구제역방역과-5980(2026. 8. 26.)]</t>
  </si>
  <si>
    <t>가축분뇨 퇴액비 살포비 지원(지방채)</t>
    <phoneticPr fontId="1" type="noConversion"/>
  </si>
  <si>
    <t>예방약품 등 지원(소브루셀라·결핵 채혈비)(국비/지원)</t>
  </si>
  <si>
    <t>소브루셀라병, 결핵병 채혈비</t>
  </si>
  <si>
    <t>예방약품 등 지원(아프리카돼지열병 채혈비(국비/직접)</t>
  </si>
  <si>
    <t>아프리카돼지열병 채혈비(지방채)</t>
  </si>
  <si>
    <t>구제역 예방접종 지원(예방백신)(국비/지원)</t>
  </si>
  <si>
    <t>구제역 예방백신 지원</t>
  </si>
  <si>
    <t>구제역 예방접종 지원(백신접종)(국비/지원)</t>
  </si>
  <si>
    <t>구제역 백신접종 시술비</t>
  </si>
  <si>
    <t>구제역 예방접종 지원(채혈비)(국비/지원)</t>
  </si>
  <si>
    <t>구제역 채혈비</t>
  </si>
  <si>
    <t>살처분보상금(국비/지원)</t>
  </si>
  <si>
    <t>살처분보상금 지원</t>
  </si>
  <si>
    <t>북부 야생동물구조관리센터 조류재활장 증축(국비/직접)</t>
  </si>
  <si>
    <t>조류재활장 증축</t>
  </si>
  <si>
    <t>조류재활장 증축 감리비</t>
  </si>
  <si>
    <t>감리비를 [건설공사 사업관리방식 검토기준 및 업무수행 지침]에 따라 비상주 감리용역이 아닌 건설사업관리용역으로 변경하여 사업비 조정</t>
  </si>
  <si>
    <t>20701-1</t>
  </si>
  <si>
    <t>20702-3</t>
  </si>
  <si>
    <t>20702-1</t>
  </si>
  <si>
    <t>20702-2</t>
  </si>
  <si>
    <t>세입없음</t>
  </si>
  <si>
    <t>반려동물산업 분야 유망 중소기업 육성 지원(전환)(자체/직접)</t>
  </si>
  <si>
    <t>반려동물산업 중소기업 상용화 지원</t>
  </si>
  <si>
    <t>반려동물산업 중소기업 통합홍보</t>
  </si>
  <si>
    <t>RE100 태양광 설치공사(자체/직접)</t>
  </si>
  <si>
    <t>RE100 태양광 설치공사</t>
  </si>
  <si>
    <t>경기도 별빛 자연휴양림 조성(자체/직접)</t>
  </si>
  <si>
    <t>경기도 별빛 자연휴양림 조성</t>
  </si>
  <si>
    <t>산림녹지과</t>
    <phoneticPr fontId="1" type="noConversion"/>
  </si>
  <si>
    <t>산림환경연구소</t>
    <phoneticPr fontId="1" type="noConversion"/>
  </si>
  <si>
    <t>사회복무요원 운영(국비/지원)</t>
    <phoneticPr fontId="1" type="noConversion"/>
  </si>
  <si>
    <t>사회복무요원 인건비</t>
    <phoneticPr fontId="1" type="noConversion"/>
  </si>
  <si>
    <t>사회복무요원 운영(국비/직접)</t>
    <phoneticPr fontId="1" type="noConversion"/>
  </si>
  <si>
    <t>사회복무요원 인력경비</t>
    <phoneticPr fontId="1" type="noConversion"/>
  </si>
  <si>
    <t>세입없음</t>
    <phoneticPr fontId="1" type="noConversion"/>
  </si>
  <si>
    <t>2추</t>
    <phoneticPr fontId="1" type="noConversion"/>
  </si>
  <si>
    <t>4-H육성 지원(자체/직접)</t>
  </si>
  <si>
    <t>4-H회원 교육</t>
  </si>
  <si>
    <t>4-H회원 역량강화 지원(전환)(자체/직접)</t>
  </si>
  <si>
    <t>4-H회원 역량강화</t>
  </si>
  <si>
    <t>201-01</t>
  </si>
  <si>
    <t>20701-지방채-2</t>
  </si>
  <si>
    <t>20702-지방채-4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</si>
</sst>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theme="1"/>
      <name val="경기천년바탕 Regular"/>
      <family val="1"/>
      <charset val="129"/>
    </font>
    <font>
      <sz val="9"/>
      <name val="경기천년바탕 Bold"/>
      <family val="1"/>
      <charset val="129"/>
    </font>
    <font>
      <strike/>
      <sz val="9"/>
      <color rgb="FFFF0000"/>
      <name val="경기천년바탕 Regular"/>
      <family val="1"/>
      <charset val="129"/>
    </font>
    <font>
      <b/>
      <sz val="18"/>
      <name val="경기천년제목V Bold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5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5" fillId="0" borderId="0"/>
    <xf numFmtId="178" fontId="18" fillId="0" borderId="0" applyFont="0" applyFill="0" applyBorder="0" applyAlignment="0" applyProtection="0"/>
    <xf numFmtId="0" fontId="18" fillId="0" borderId="0"/>
    <xf numFmtId="0" fontId="125" fillId="0" borderId="0"/>
    <xf numFmtId="0" fontId="6" fillId="0" borderId="0">
      <alignment vertical="center"/>
    </xf>
    <xf numFmtId="0" fontId="6" fillId="0" borderId="0">
      <alignment vertical="center"/>
    </xf>
    <xf numFmtId="0" fontId="141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5" fillId="0" borderId="0"/>
    <xf numFmtId="41" fontId="18" fillId="0" borderId="0" applyFont="0" applyFill="0" applyBorder="0" applyAlignment="0" applyProtection="0">
      <alignment vertical="center"/>
    </xf>
  </cellStyleXfs>
  <cellXfs count="99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8" fillId="0" borderId="0" xfId="0" applyFont="1" applyProtection="1">
      <alignment vertical="center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59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54" fillId="0" borderId="0" xfId="0" applyFont="1" applyProtection="1">
      <alignment vertical="center"/>
    </xf>
    <xf numFmtId="0" fontId="54" fillId="0" borderId="0" xfId="0" applyFont="1" applyAlignment="1" applyProtection="1">
      <alignment horizontal="left" vertical="center"/>
    </xf>
    <xf numFmtId="0" fontId="53" fillId="0" borderId="0" xfId="0" applyFont="1" applyProtection="1">
      <alignment vertical="center"/>
    </xf>
    <xf numFmtId="0" fontId="54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horizontal="center" vertical="center"/>
    </xf>
    <xf numFmtId="0" fontId="60" fillId="0" borderId="6" xfId="0" applyFont="1" applyBorder="1" applyProtection="1">
      <alignment vertical="center"/>
    </xf>
    <xf numFmtId="0" fontId="60" fillId="0" borderId="0" xfId="0" applyFont="1" applyProtection="1">
      <alignment vertical="center"/>
    </xf>
    <xf numFmtId="0" fontId="60" fillId="0" borderId="6" xfId="0" applyFont="1" applyBorder="1">
      <alignment vertical="center"/>
    </xf>
    <xf numFmtId="0" fontId="60" fillId="0" borderId="0" xfId="0" applyFont="1">
      <alignment vertical="center"/>
    </xf>
    <xf numFmtId="0" fontId="60" fillId="0" borderId="0" xfId="0" applyFont="1" applyBorder="1">
      <alignment vertical="center"/>
    </xf>
    <xf numFmtId="0" fontId="54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0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0" fillId="0" borderId="0" xfId="0" applyFont="1" applyFill="1" applyProtection="1">
      <alignment vertical="center"/>
    </xf>
    <xf numFmtId="0" fontId="60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left" vertical="center"/>
    </xf>
    <xf numFmtId="0" fontId="60" fillId="0" borderId="0" xfId="0" applyFont="1" applyAlignment="1" applyProtection="1">
      <alignment vertical="center" wrapText="1"/>
    </xf>
    <xf numFmtId="0" fontId="64" fillId="0" borderId="0" xfId="0" applyFont="1" applyAlignment="1" applyProtection="1">
      <alignment vertical="center" wrapText="1"/>
    </xf>
    <xf numFmtId="0" fontId="64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5" fillId="0" borderId="0" xfId="0" applyFont="1">
      <alignment vertical="center"/>
    </xf>
    <xf numFmtId="0" fontId="66" fillId="0" borderId="0" xfId="0" applyFont="1" applyAlignment="1" applyProtection="1">
      <alignment vertical="center" shrinkToFit="1"/>
    </xf>
    <xf numFmtId="0" fontId="54" fillId="0" borderId="0" xfId="0" applyFont="1" applyBorder="1" applyAlignment="1">
      <alignment horizontal="center" vertical="center" wrapText="1"/>
    </xf>
    <xf numFmtId="0" fontId="54" fillId="56" borderId="0" xfId="0" applyFont="1" applyFill="1" applyBorder="1" applyAlignment="1" applyProtection="1">
      <alignment horizontal="center" vertical="center" wrapText="1"/>
    </xf>
    <xf numFmtId="0" fontId="63" fillId="0" borderId="0" xfId="0" applyFont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 applyProtection="1">
      <alignment horizontal="center" vertical="center" wrapText="1"/>
    </xf>
    <xf numFmtId="0" fontId="54" fillId="0" borderId="0" xfId="0" applyFont="1" applyBorder="1" applyAlignment="1" applyProtection="1">
      <alignment horizontal="center" vertical="center" wrapText="1"/>
    </xf>
    <xf numFmtId="0" fontId="54" fillId="0" borderId="0" xfId="0" applyFont="1" applyFill="1" applyProtection="1">
      <alignment vertical="center"/>
    </xf>
    <xf numFmtId="0" fontId="55" fillId="0" borderId="0" xfId="0" applyFont="1" applyProtection="1">
      <alignment vertical="center"/>
    </xf>
    <xf numFmtId="0" fontId="60" fillId="0" borderId="0" xfId="0" applyFont="1" applyAlignment="1" applyProtection="1">
      <alignment horizontal="right" vertical="center"/>
    </xf>
    <xf numFmtId="0" fontId="69" fillId="0" borderId="0" xfId="0" applyFont="1">
      <alignment vertical="center"/>
    </xf>
    <xf numFmtId="0" fontId="70" fillId="0" borderId="0" xfId="0" applyFont="1">
      <alignment vertical="center"/>
    </xf>
    <xf numFmtId="0" fontId="70" fillId="0" borderId="0" xfId="0" applyFont="1" applyProtection="1">
      <alignment vertical="center"/>
    </xf>
    <xf numFmtId="0" fontId="70" fillId="0" borderId="0" xfId="0" applyFont="1" applyBorder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60" fillId="55" borderId="24" xfId="0" applyFont="1" applyFill="1" applyBorder="1" applyAlignment="1" applyProtection="1">
      <alignment horizontal="center" vertical="center"/>
    </xf>
    <xf numFmtId="0" fontId="55" fillId="55" borderId="24" xfId="0" applyFont="1" applyFill="1" applyBorder="1" applyProtection="1">
      <alignment vertical="center"/>
    </xf>
    <xf numFmtId="0" fontId="60" fillId="55" borderId="24" xfId="0" applyFont="1" applyFill="1" applyBorder="1" applyAlignment="1" applyProtection="1">
      <alignment horizontal="center" vertical="center" shrinkToFit="1"/>
    </xf>
    <xf numFmtId="0" fontId="56" fillId="55" borderId="24" xfId="0" applyFont="1" applyFill="1" applyBorder="1" applyAlignment="1" applyProtection="1">
      <alignment horizontal="center" vertical="center"/>
    </xf>
    <xf numFmtId="0" fontId="56" fillId="55" borderId="24" xfId="0" applyFont="1" applyFill="1" applyBorder="1" applyAlignment="1" applyProtection="1">
      <alignment horizontal="center" vertical="center" wrapText="1"/>
    </xf>
    <xf numFmtId="0" fontId="62" fillId="55" borderId="24" xfId="0" applyFont="1" applyFill="1" applyBorder="1" applyAlignment="1" applyProtection="1">
      <alignment horizontal="left" vertical="center" wrapText="1"/>
    </xf>
    <xf numFmtId="0" fontId="54" fillId="55" borderId="24" xfId="0" applyFont="1" applyFill="1" applyBorder="1" applyAlignment="1" applyProtection="1">
      <alignment horizontal="left" vertical="center" wrapText="1"/>
    </xf>
    <xf numFmtId="0" fontId="54" fillId="55" borderId="24" xfId="0" applyFont="1" applyFill="1" applyBorder="1" applyAlignment="1" applyProtection="1">
      <alignment horizontal="center" vertical="center" wrapText="1"/>
    </xf>
    <xf numFmtId="0" fontId="54" fillId="55" borderId="24" xfId="0" applyFont="1" applyFill="1" applyBorder="1" applyAlignment="1" applyProtection="1">
      <alignment vertical="center" wrapText="1"/>
    </xf>
    <xf numFmtId="0" fontId="60" fillId="0" borderId="0" xfId="0" applyFont="1" applyFill="1">
      <alignment vertical="center"/>
    </xf>
    <xf numFmtId="0" fontId="60" fillId="0" borderId="0" xfId="0" applyFont="1" applyFill="1" applyBorder="1">
      <alignment vertical="center"/>
    </xf>
    <xf numFmtId="0" fontId="54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6" fillId="0" borderId="1" xfId="206" applyNumberFormat="1" applyFont="1" applyFill="1" applyBorder="1" applyAlignment="1">
      <alignment vertical="center"/>
    </xf>
    <xf numFmtId="0" fontId="76" fillId="0" borderId="1" xfId="206" applyNumberFormat="1" applyFont="1" applyFill="1" applyBorder="1" applyAlignment="1">
      <alignment horizontal="left" vertical="center"/>
    </xf>
    <xf numFmtId="0" fontId="77" fillId="57" borderId="25" xfId="0" applyFont="1" applyFill="1" applyBorder="1" applyAlignment="1">
      <alignment horizontal="center" vertical="center"/>
    </xf>
    <xf numFmtId="0" fontId="77" fillId="57" borderId="23" xfId="0" applyFont="1" applyFill="1" applyBorder="1" applyAlignment="1">
      <alignment horizontal="center" vertical="center"/>
    </xf>
    <xf numFmtId="0" fontId="77" fillId="58" borderId="24" xfId="0" applyFont="1" applyFill="1" applyBorder="1" applyAlignment="1">
      <alignment horizontal="center" vertical="center"/>
    </xf>
    <xf numFmtId="177" fontId="77" fillId="58" borderId="24" xfId="0" applyNumberFormat="1" applyFont="1" applyFill="1" applyBorder="1">
      <alignment vertical="center"/>
    </xf>
    <xf numFmtId="177" fontId="77" fillId="58" borderId="25" xfId="0" applyNumberFormat="1" applyFont="1" applyFill="1" applyBorder="1">
      <alignment vertical="center"/>
    </xf>
    <xf numFmtId="177" fontId="77" fillId="58" borderId="33" xfId="0" applyNumberFormat="1" applyFont="1" applyFill="1" applyBorder="1">
      <alignment vertical="center"/>
    </xf>
    <xf numFmtId="177" fontId="77" fillId="58" borderId="27" xfId="0" applyNumberFormat="1" applyFont="1" applyFill="1" applyBorder="1">
      <alignment vertical="center"/>
    </xf>
    <xf numFmtId="177" fontId="77" fillId="59" borderId="32" xfId="0" applyNumberFormat="1" applyFont="1" applyFill="1" applyBorder="1">
      <alignment vertical="center"/>
    </xf>
    <xf numFmtId="177" fontId="77" fillId="59" borderId="38" xfId="0" applyNumberFormat="1" applyFont="1" applyFill="1" applyBorder="1">
      <alignment vertical="center"/>
    </xf>
    <xf numFmtId="177" fontId="77" fillId="59" borderId="31" xfId="0" applyNumberFormat="1" applyFont="1" applyFill="1" applyBorder="1">
      <alignment vertical="center"/>
    </xf>
    <xf numFmtId="0" fontId="77" fillId="0" borderId="4" xfId="0" applyFont="1" applyBorder="1" applyAlignment="1">
      <alignment horizontal="center" vertical="center"/>
    </xf>
    <xf numFmtId="177" fontId="77" fillId="59" borderId="4" xfId="0" applyNumberFormat="1" applyFont="1" applyFill="1" applyBorder="1">
      <alignment vertical="center"/>
    </xf>
    <xf numFmtId="177" fontId="77" fillId="59" borderId="35" xfId="0" applyNumberFormat="1" applyFont="1" applyFill="1" applyBorder="1">
      <alignment vertical="center"/>
    </xf>
    <xf numFmtId="177" fontId="77" fillId="59" borderId="22" xfId="0" applyNumberFormat="1" applyFont="1" applyFill="1" applyBorder="1">
      <alignment vertical="center"/>
    </xf>
    <xf numFmtId="177" fontId="77" fillId="59" borderId="6" xfId="0" applyNumberFormat="1" applyFont="1" applyFill="1" applyBorder="1">
      <alignment vertical="center"/>
    </xf>
    <xf numFmtId="0" fontId="77" fillId="0" borderId="5" xfId="0" applyFont="1" applyBorder="1" applyAlignment="1">
      <alignment horizontal="center" vertical="center"/>
    </xf>
    <xf numFmtId="177" fontId="77" fillId="59" borderId="5" xfId="0" applyNumberFormat="1" applyFont="1" applyFill="1" applyBorder="1">
      <alignment vertical="center"/>
    </xf>
    <xf numFmtId="177" fontId="77" fillId="59" borderId="7" xfId="0" applyNumberFormat="1" applyFont="1" applyFill="1" applyBorder="1">
      <alignment vertical="center"/>
    </xf>
    <xf numFmtId="0" fontId="77" fillId="0" borderId="30" xfId="0" applyFont="1" applyBorder="1" applyAlignment="1">
      <alignment horizontal="center" vertical="center"/>
    </xf>
    <xf numFmtId="177" fontId="77" fillId="59" borderId="30" xfId="0" applyNumberFormat="1" applyFont="1" applyFill="1" applyBorder="1">
      <alignment vertical="center"/>
    </xf>
    <xf numFmtId="177" fontId="77" fillId="59" borderId="9" xfId="0" applyNumberFormat="1" applyFont="1" applyFill="1" applyBorder="1">
      <alignment vertical="center"/>
    </xf>
    <xf numFmtId="0" fontId="78" fillId="0" borderId="0" xfId="0" applyFont="1" applyAlignment="1">
      <alignment horizontal="left" vertical="center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177" fontId="13" fillId="0" borderId="24" xfId="0" applyNumberFormat="1" applyFont="1" applyBorder="1">
      <alignment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77" fontId="3" fillId="4" borderId="24" xfId="0" applyNumberFormat="1" applyFont="1" applyFill="1" applyBorder="1">
      <alignment vertical="center"/>
    </xf>
    <xf numFmtId="0" fontId="3" fillId="4" borderId="2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4" borderId="24" xfId="0" applyFont="1" applyFill="1" applyBorder="1">
      <alignment vertical="center"/>
    </xf>
    <xf numFmtId="177" fontId="13" fillId="4" borderId="24" xfId="0" applyNumberFormat="1" applyFont="1" applyFill="1" applyBorder="1">
      <alignment vertical="center"/>
    </xf>
    <xf numFmtId="0" fontId="79" fillId="59" borderId="24" xfId="0" applyFont="1" applyFill="1" applyBorder="1" applyAlignment="1">
      <alignment horizontal="center" vertical="center" wrapText="1"/>
    </xf>
    <xf numFmtId="0" fontId="81" fillId="59" borderId="24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0" fillId="55" borderId="24" xfId="0" applyFont="1" applyFill="1" applyBorder="1" applyAlignment="1" applyProtection="1">
      <alignment horizontal="center" vertical="center" wrapText="1"/>
    </xf>
    <xf numFmtId="0" fontId="55" fillId="55" borderId="24" xfId="0" applyFont="1" applyFill="1" applyBorder="1" applyAlignment="1" applyProtection="1">
      <alignment vertical="center" wrapText="1"/>
    </xf>
    <xf numFmtId="0" fontId="60" fillId="55" borderId="24" xfId="0" applyFont="1" applyFill="1" applyBorder="1" applyAlignment="1" applyProtection="1">
      <alignment horizontal="center" vertical="center" wrapText="1" shrinkToFit="1"/>
    </xf>
    <xf numFmtId="0" fontId="60" fillId="0" borderId="6" xfId="0" applyFont="1" applyBorder="1" applyAlignment="1" applyProtection="1">
      <alignment vertical="center" wrapText="1"/>
    </xf>
    <xf numFmtId="0" fontId="81" fillId="59" borderId="24" xfId="0" applyFont="1" applyFill="1" applyBorder="1" applyAlignment="1">
      <alignment horizontal="center" vertical="center" wrapText="1"/>
    </xf>
    <xf numFmtId="0" fontId="81" fillId="0" borderId="0" xfId="0" applyFont="1" applyFill="1" applyProtection="1">
      <alignment vertical="center"/>
    </xf>
    <xf numFmtId="0" fontId="81" fillId="0" borderId="0" xfId="0" applyFont="1">
      <alignment vertical="center"/>
    </xf>
    <xf numFmtId="0" fontId="81" fillId="0" borderId="0" xfId="0" applyFont="1" applyProtection="1">
      <alignment vertical="center"/>
    </xf>
    <xf numFmtId="0" fontId="85" fillId="55" borderId="24" xfId="0" applyFont="1" applyFill="1" applyBorder="1" applyAlignment="1" applyProtection="1">
      <alignment horizontal="center" vertical="center"/>
    </xf>
    <xf numFmtId="0" fontId="86" fillId="55" borderId="24" xfId="0" applyFont="1" applyFill="1" applyBorder="1" applyAlignment="1" applyProtection="1">
      <alignment horizontal="left" vertical="center"/>
    </xf>
    <xf numFmtId="0" fontId="85" fillId="55" borderId="24" xfId="0" applyFont="1" applyFill="1" applyBorder="1" applyAlignment="1" applyProtection="1">
      <alignment horizontal="left" vertical="center" wrapText="1"/>
    </xf>
    <xf numFmtId="0" fontId="85" fillId="55" borderId="24" xfId="0" applyFont="1" applyFill="1" applyBorder="1" applyAlignment="1" applyProtection="1">
      <alignment vertical="center" wrapText="1"/>
    </xf>
    <xf numFmtId="0" fontId="84" fillId="55" borderId="24" xfId="0" applyFont="1" applyFill="1" applyBorder="1" applyAlignment="1" applyProtection="1">
      <alignment horizontal="center" vertical="center"/>
    </xf>
    <xf numFmtId="0" fontId="87" fillId="55" borderId="24" xfId="0" applyFont="1" applyFill="1" applyBorder="1" applyProtection="1">
      <alignment vertical="center"/>
    </xf>
    <xf numFmtId="0" fontId="84" fillId="55" borderId="24" xfId="0" applyFont="1" applyFill="1" applyBorder="1" applyAlignment="1" applyProtection="1">
      <alignment horizontal="center" vertical="center" shrinkToFit="1"/>
    </xf>
    <xf numFmtId="0" fontId="85" fillId="55" borderId="24" xfId="0" applyFont="1" applyFill="1" applyBorder="1" applyAlignment="1" applyProtection="1">
      <alignment horizontal="center" vertical="center" wrapText="1"/>
    </xf>
    <xf numFmtId="0" fontId="86" fillId="55" borderId="24" xfId="0" applyFont="1" applyFill="1" applyBorder="1" applyAlignment="1" applyProtection="1">
      <alignment horizontal="left" vertical="center" wrapText="1"/>
    </xf>
    <xf numFmtId="0" fontId="84" fillId="55" borderId="24" xfId="0" applyFont="1" applyFill="1" applyBorder="1" applyAlignment="1" applyProtection="1">
      <alignment horizontal="left" vertical="center" wrapText="1"/>
    </xf>
    <xf numFmtId="0" fontId="84" fillId="55" borderId="24" xfId="0" applyFont="1" applyFill="1" applyBorder="1" applyAlignment="1" applyProtection="1">
      <alignment horizontal="center" vertical="center" wrapText="1"/>
    </xf>
    <xf numFmtId="0" fontId="84" fillId="55" borderId="24" xfId="0" applyFont="1" applyFill="1" applyBorder="1" applyAlignment="1" applyProtection="1">
      <alignment vertical="center" wrapText="1"/>
    </xf>
    <xf numFmtId="0" fontId="82" fillId="0" borderId="24" xfId="0" applyFont="1" applyFill="1" applyBorder="1" applyAlignment="1" applyProtection="1">
      <alignment horizontal="center" vertical="center" shrinkToFit="1"/>
    </xf>
    <xf numFmtId="176" fontId="82" fillId="0" borderId="24" xfId="1" applyNumberFormat="1" applyFont="1" applyFill="1" applyBorder="1" applyAlignment="1" applyProtection="1">
      <alignment horizontal="right" vertical="center"/>
    </xf>
    <xf numFmtId="0" fontId="80" fillId="0" borderId="24" xfId="0" applyFont="1" applyBorder="1" applyAlignment="1" applyProtection="1">
      <alignment horizontal="center" vertical="center" shrinkToFit="1"/>
    </xf>
    <xf numFmtId="176" fontId="80" fillId="0" borderId="24" xfId="1" applyNumberFormat="1" applyFont="1" applyFill="1" applyBorder="1" applyAlignment="1" applyProtection="1">
      <alignment horizontal="right" vertical="center"/>
    </xf>
    <xf numFmtId="0" fontId="80" fillId="0" borderId="24" xfId="0" applyFont="1" applyBorder="1" applyAlignment="1">
      <alignment horizontal="center" vertical="center" shrinkToFit="1"/>
    </xf>
    <xf numFmtId="0" fontId="58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4" fillId="55" borderId="24" xfId="0" applyFont="1" applyFill="1" applyBorder="1" applyAlignment="1">
      <alignment horizontal="center" vertical="center" wrapText="1"/>
    </xf>
    <xf numFmtId="0" fontId="84" fillId="55" borderId="24" xfId="0" applyFont="1" applyFill="1" applyBorder="1" applyAlignment="1">
      <alignment vertical="center" wrapTex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0" fillId="0" borderId="0" xfId="0" applyFont="1" applyProtection="1">
      <alignment vertical="center"/>
    </xf>
    <xf numFmtId="0" fontId="76" fillId="0" borderId="49" xfId="350" applyNumberFormat="1" applyFont="1" applyFill="1" applyBorder="1" applyAlignment="1">
      <alignment horizontal="left" vertical="center"/>
    </xf>
    <xf numFmtId="0" fontId="76" fillId="0" borderId="50" xfId="350" applyNumberFormat="1" applyFont="1" applyFill="1" applyBorder="1" applyAlignment="1">
      <alignment horizontal="left" vertical="center"/>
    </xf>
    <xf numFmtId="0" fontId="76" fillId="0" borderId="51" xfId="350" applyNumberFormat="1" applyFont="1" applyFill="1" applyBorder="1" applyAlignment="1">
      <alignment horizontal="left" vertical="center"/>
    </xf>
    <xf numFmtId="0" fontId="76" fillId="0" borderId="51" xfId="206" applyNumberFormat="1" applyFont="1" applyFill="1" applyBorder="1" applyAlignment="1">
      <alignment horizontal="left" vertical="center"/>
    </xf>
    <xf numFmtId="0" fontId="76" fillId="0" borderId="50" xfId="206" applyNumberFormat="1" applyFont="1" applyFill="1" applyBorder="1" applyAlignment="1">
      <alignment horizontal="left" vertical="center"/>
    </xf>
    <xf numFmtId="0" fontId="76" fillId="0" borderId="49" xfId="206" applyNumberFormat="1" applyFont="1" applyFill="1" applyBorder="1" applyAlignment="1">
      <alignment horizontal="left" vertical="center"/>
    </xf>
    <xf numFmtId="0" fontId="76" fillId="0" borderId="54" xfId="206" applyNumberFormat="1" applyFont="1" applyFill="1" applyBorder="1" applyAlignment="1">
      <alignment vertical="center"/>
    </xf>
    <xf numFmtId="0" fontId="76" fillId="0" borderId="56" xfId="206" applyNumberFormat="1" applyFont="1" applyFill="1" applyBorder="1" applyAlignment="1">
      <alignment vertical="center"/>
    </xf>
    <xf numFmtId="0" fontId="76" fillId="0" borderId="55" xfId="206" applyNumberFormat="1" applyFont="1" applyFill="1" applyBorder="1" applyAlignment="1">
      <alignment horizontal="left" vertical="center"/>
    </xf>
    <xf numFmtId="0" fontId="76" fillId="0" borderId="58" xfId="206" applyNumberFormat="1" applyFont="1" applyFill="1" applyBorder="1" applyAlignment="1">
      <alignment vertical="center"/>
    </xf>
    <xf numFmtId="0" fontId="76" fillId="0" borderId="45" xfId="206" applyNumberFormat="1" applyFont="1" applyFill="1" applyBorder="1" applyAlignment="1">
      <alignment vertical="center"/>
    </xf>
    <xf numFmtId="0" fontId="81" fillId="3" borderId="24" xfId="0" applyFont="1" applyFill="1" applyBorder="1" applyAlignment="1">
      <alignment horizontal="center" vertical="center" wrapText="1"/>
    </xf>
    <xf numFmtId="0" fontId="94" fillId="62" borderId="63" xfId="0" applyFont="1" applyFill="1" applyBorder="1" applyAlignment="1">
      <alignment horizontal="left" vertical="center" wrapText="1"/>
    </xf>
    <xf numFmtId="0" fontId="93" fillId="63" borderId="63" xfId="0" applyFont="1" applyFill="1" applyBorder="1" applyAlignment="1">
      <alignment horizontal="left" vertical="center" wrapText="1"/>
    </xf>
    <xf numFmtId="0" fontId="93" fillId="64" borderId="63" xfId="0" applyFont="1" applyFill="1" applyBorder="1" applyAlignment="1">
      <alignment horizontal="left" vertical="center" wrapText="1"/>
    </xf>
    <xf numFmtId="0" fontId="93" fillId="0" borderId="63" xfId="0" applyFont="1" applyBorder="1" applyAlignment="1">
      <alignment horizontal="left" vertical="center" wrapText="1"/>
    </xf>
    <xf numFmtId="0" fontId="95" fillId="0" borderId="63" xfId="0" applyFont="1" applyBorder="1" applyAlignment="1">
      <alignment horizontal="left" vertical="center" wrapText="1"/>
    </xf>
    <xf numFmtId="0" fontId="93" fillId="0" borderId="65" xfId="0" applyFont="1" applyBorder="1" applyAlignment="1">
      <alignment horizontal="left" vertical="center" wrapText="1"/>
    </xf>
    <xf numFmtId="0" fontId="55" fillId="55" borderId="24" xfId="0" applyFont="1" applyFill="1" applyBorder="1" applyAlignment="1" applyProtection="1">
      <alignment horizontal="center" vertical="center"/>
    </xf>
    <xf numFmtId="0" fontId="55" fillId="55" borderId="24" xfId="0" applyFont="1" applyFill="1" applyBorder="1" applyAlignment="1" applyProtection="1">
      <alignment horizontal="center" vertical="center" wrapText="1"/>
    </xf>
    <xf numFmtId="0" fontId="81" fillId="65" borderId="24" xfId="0" applyFont="1" applyFill="1" applyBorder="1" applyAlignment="1">
      <alignment horizontal="center" vertical="center" wrapText="1" shrinkToFit="1"/>
    </xf>
    <xf numFmtId="0" fontId="83" fillId="65" borderId="24" xfId="0" applyFont="1" applyFill="1" applyBorder="1" applyAlignment="1">
      <alignment horizontal="center" vertical="center" wrapText="1"/>
    </xf>
    <xf numFmtId="0" fontId="83" fillId="65" borderId="24" xfId="0" applyFont="1" applyFill="1" applyBorder="1" applyAlignment="1">
      <alignment horizontal="left" vertical="center" wrapText="1"/>
    </xf>
    <xf numFmtId="0" fontId="54" fillId="65" borderId="24" xfId="0" applyFont="1" applyFill="1" applyBorder="1" applyAlignment="1">
      <alignment vertical="center" wrapText="1" shrinkToFit="1"/>
    </xf>
    <xf numFmtId="0" fontId="81" fillId="65" borderId="24" xfId="0" applyFont="1" applyFill="1" applyBorder="1" applyAlignment="1">
      <alignment horizontal="center" vertical="center" wrapText="1"/>
    </xf>
    <xf numFmtId="0" fontId="81" fillId="65" borderId="24" xfId="0" applyFont="1" applyFill="1" applyBorder="1" applyAlignment="1">
      <alignment horizontal="left" vertical="center" wrapText="1"/>
    </xf>
    <xf numFmtId="0" fontId="79" fillId="65" borderId="24" xfId="0" applyFont="1" applyFill="1" applyBorder="1" applyAlignment="1">
      <alignment horizontal="center" vertical="center" wrapText="1" shrinkToFit="1"/>
    </xf>
    <xf numFmtId="0" fontId="54" fillId="65" borderId="24" xfId="0" applyFont="1" applyFill="1" applyBorder="1" applyAlignment="1">
      <alignment horizontal="left" vertical="center" wrapText="1"/>
    </xf>
    <xf numFmtId="0" fontId="54" fillId="65" borderId="24" xfId="0" applyFont="1" applyFill="1" applyBorder="1" applyAlignment="1">
      <alignment horizontal="center" vertical="center" wrapText="1"/>
    </xf>
    <xf numFmtId="0" fontId="54" fillId="3" borderId="24" xfId="0" applyFont="1" applyFill="1" applyBorder="1" applyAlignment="1">
      <alignment horizontal="left" vertical="center" wrapText="1"/>
    </xf>
    <xf numFmtId="0" fontId="54" fillId="3" borderId="24" xfId="0" applyFont="1" applyFill="1" applyBorder="1" applyAlignment="1">
      <alignment vertical="center" wrapText="1"/>
    </xf>
    <xf numFmtId="176" fontId="79" fillId="61" borderId="24" xfId="1" applyNumberFormat="1" applyFont="1" applyFill="1" applyBorder="1" applyAlignment="1" applyProtection="1">
      <alignment horizontal="right" vertical="center" wrapText="1"/>
    </xf>
    <xf numFmtId="176" fontId="81" fillId="61" borderId="24" xfId="1" applyNumberFormat="1" applyFont="1" applyFill="1" applyBorder="1" applyAlignment="1" applyProtection="1">
      <alignment horizontal="right" vertical="center" wrapText="1"/>
    </xf>
    <xf numFmtId="0" fontId="81" fillId="65" borderId="24" xfId="0" applyFont="1" applyFill="1" applyBorder="1" applyAlignment="1">
      <alignment horizontal="center" vertical="center" shrinkToFit="1"/>
    </xf>
    <xf numFmtId="0" fontId="81" fillId="0" borderId="6" xfId="0" applyFont="1" applyBorder="1">
      <alignment vertical="center"/>
    </xf>
    <xf numFmtId="0" fontId="81" fillId="0" borderId="0" xfId="0" applyFont="1" applyBorder="1">
      <alignment vertical="center"/>
    </xf>
    <xf numFmtId="176" fontId="81" fillId="61" borderId="24" xfId="1" applyNumberFormat="1" applyFont="1" applyFill="1" applyBorder="1" applyAlignment="1">
      <alignment horizontal="right" vertical="center"/>
    </xf>
    <xf numFmtId="0" fontId="81" fillId="65" borderId="24" xfId="0" applyFont="1" applyFill="1" applyBorder="1" applyAlignment="1">
      <alignment vertical="center" wrapText="1" shrinkToFit="1"/>
    </xf>
    <xf numFmtId="0" fontId="81" fillId="65" borderId="24" xfId="0" applyFont="1" applyFill="1" applyBorder="1" applyAlignment="1">
      <alignment horizontal="center" vertical="center"/>
    </xf>
    <xf numFmtId="0" fontId="81" fillId="3" borderId="24" xfId="0" applyFont="1" applyFill="1" applyBorder="1" applyAlignment="1">
      <alignment horizontal="center" vertical="center"/>
    </xf>
    <xf numFmtId="0" fontId="79" fillId="65" borderId="24" xfId="0" applyFont="1" applyFill="1" applyBorder="1" applyAlignment="1">
      <alignment horizontal="left" vertical="center" wrapText="1"/>
    </xf>
    <xf numFmtId="0" fontId="81" fillId="3" borderId="24" xfId="0" applyFont="1" applyFill="1" applyBorder="1" applyAlignment="1">
      <alignment vertical="center" wrapText="1"/>
    </xf>
    <xf numFmtId="0" fontId="83" fillId="59" borderId="24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vertical="center"/>
    </xf>
    <xf numFmtId="0" fontId="3" fillId="2" borderId="61" xfId="0" applyFont="1" applyFill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4" xfId="0" applyBorder="1" applyAlignment="1">
      <alignment vertical="center"/>
    </xf>
    <xf numFmtId="0" fontId="96" fillId="0" borderId="0" xfId="0" applyFont="1">
      <alignment vertical="center"/>
    </xf>
    <xf numFmtId="0" fontId="68" fillId="55" borderId="24" xfId="0" applyFont="1" applyFill="1" applyBorder="1" applyAlignment="1">
      <alignment horizontal="center" vertical="center" wrapText="1" shrinkToFit="1"/>
    </xf>
    <xf numFmtId="0" fontId="2" fillId="2" borderId="53" xfId="0" applyFont="1" applyFill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66" xfId="0" applyFont="1" applyFill="1" applyBorder="1">
      <alignment vertical="center"/>
    </xf>
    <xf numFmtId="0" fontId="76" fillId="0" borderId="68" xfId="350" applyNumberFormat="1" applyFont="1" applyFill="1" applyBorder="1" applyAlignment="1">
      <alignment horizontal="left" vertical="center"/>
    </xf>
    <xf numFmtId="0" fontId="76" fillId="0" borderId="49" xfId="363" applyFont="1" applyFill="1" applyBorder="1" applyAlignment="1">
      <alignment horizontal="center" vertical="center"/>
    </xf>
    <xf numFmtId="49" fontId="76" fillId="0" borderId="58" xfId="363" applyNumberFormat="1" applyFont="1" applyFill="1" applyBorder="1" applyAlignment="1">
      <alignment horizontal="justify" vertical="center" wrapText="1"/>
    </xf>
    <xf numFmtId="49" fontId="76" fillId="0" borderId="54" xfId="363" applyNumberFormat="1" applyFont="1" applyFill="1" applyBorder="1" applyAlignment="1">
      <alignment horizontal="justify" vertical="center" wrapText="1"/>
    </xf>
    <xf numFmtId="0" fontId="76" fillId="0" borderId="51" xfId="363" applyFont="1" applyFill="1" applyBorder="1" applyAlignment="1">
      <alignment horizontal="center" vertical="center"/>
    </xf>
    <xf numFmtId="49" fontId="76" fillId="0" borderId="1" xfId="363" applyNumberFormat="1" applyFont="1" applyFill="1" applyBorder="1" applyAlignment="1">
      <alignment horizontal="justify" vertical="center" wrapText="1"/>
    </xf>
    <xf numFmtId="49" fontId="76" fillId="0" borderId="56" xfId="363" applyNumberFormat="1" applyFont="1" applyFill="1" applyBorder="1" applyAlignment="1">
      <alignment horizontal="justify" vertical="center" wrapText="1"/>
    </xf>
    <xf numFmtId="0" fontId="76" fillId="0" borderId="50" xfId="363" applyFont="1" applyFill="1" applyBorder="1" applyAlignment="1">
      <alignment horizontal="center" vertical="center"/>
    </xf>
    <xf numFmtId="49" fontId="76" fillId="0" borderId="45" xfId="363" applyNumberFormat="1" applyFont="1" applyFill="1" applyBorder="1" applyAlignment="1">
      <alignment horizontal="justify" vertical="center" wrapText="1"/>
    </xf>
    <xf numFmtId="49" fontId="76" fillId="0" borderId="55" xfId="363" applyNumberFormat="1" applyFont="1" applyFill="1" applyBorder="1" applyAlignment="1">
      <alignment horizontal="justify" vertical="center" wrapText="1"/>
    </xf>
    <xf numFmtId="0" fontId="76" fillId="10" borderId="51" xfId="363" applyFont="1" applyFill="1" applyBorder="1" applyAlignment="1">
      <alignment horizontal="center" vertical="center"/>
    </xf>
    <xf numFmtId="49" fontId="76" fillId="10" borderId="1" xfId="363" applyNumberFormat="1" applyFont="1" applyFill="1" applyBorder="1" applyAlignment="1">
      <alignment horizontal="justify" vertical="center" wrapText="1"/>
    </xf>
    <xf numFmtId="49" fontId="76" fillId="10" borderId="56" xfId="363" applyNumberFormat="1" applyFont="1" applyFill="1" applyBorder="1" applyAlignment="1">
      <alignment horizontal="justify" vertical="center" wrapText="1"/>
    </xf>
    <xf numFmtId="0" fontId="76" fillId="0" borderId="70" xfId="363" applyFont="1" applyFill="1" applyBorder="1" applyAlignment="1">
      <alignment horizontal="center" vertical="center"/>
    </xf>
    <xf numFmtId="49" fontId="76" fillId="0" borderId="40" xfId="363" applyNumberFormat="1" applyFont="1" applyFill="1" applyBorder="1" applyAlignment="1">
      <alignment horizontal="justify" vertical="center" wrapText="1"/>
    </xf>
    <xf numFmtId="49" fontId="76" fillId="0" borderId="71" xfId="363" applyNumberFormat="1" applyFont="1" applyFill="1" applyBorder="1" applyAlignment="1">
      <alignment horizontal="justify" vertical="center" wrapText="1"/>
    </xf>
    <xf numFmtId="0" fontId="76" fillId="0" borderId="52" xfId="363" applyFont="1" applyFill="1" applyBorder="1" applyAlignment="1">
      <alignment horizontal="center" vertical="center"/>
    </xf>
    <xf numFmtId="49" fontId="76" fillId="0" borderId="59" xfId="363" applyNumberFormat="1" applyFont="1" applyFill="1" applyBorder="1" applyAlignment="1">
      <alignment horizontal="justify" vertical="center" wrapText="1"/>
    </xf>
    <xf numFmtId="49" fontId="76" fillId="0" borderId="57" xfId="363" applyNumberFormat="1" applyFont="1" applyFill="1" applyBorder="1" applyAlignment="1">
      <alignment horizontal="justify" vertical="center" wrapText="1"/>
    </xf>
    <xf numFmtId="0" fontId="76" fillId="0" borderId="51" xfId="206" applyNumberFormat="1" applyFont="1" applyFill="1" applyBorder="1" applyAlignment="1">
      <alignment horizontal="center" vertical="center"/>
    </xf>
    <xf numFmtId="0" fontId="76" fillId="0" borderId="67" xfId="363" applyFont="1" applyFill="1" applyBorder="1" applyAlignment="1">
      <alignment horizontal="center" vertical="center"/>
    </xf>
    <xf numFmtId="49" fontId="76" fillId="0" borderId="47" xfId="363" applyNumberFormat="1" applyFont="1" applyFill="1" applyBorder="1" applyAlignment="1">
      <alignment horizontal="justify" vertical="center" wrapText="1"/>
    </xf>
    <xf numFmtId="49" fontId="76" fillId="0" borderId="66" xfId="363" applyNumberFormat="1" applyFont="1" applyFill="1" applyBorder="1" applyAlignment="1">
      <alignment horizontal="justify" vertical="center" wrapText="1"/>
    </xf>
    <xf numFmtId="0" fontId="97" fillId="57" borderId="49" xfId="206" applyNumberFormat="1" applyFont="1" applyFill="1" applyBorder="1" applyAlignment="1">
      <alignment vertical="center"/>
    </xf>
    <xf numFmtId="0" fontId="97" fillId="57" borderId="51" xfId="206" applyNumberFormat="1" applyFont="1" applyFill="1" applyBorder="1" applyAlignment="1">
      <alignment vertical="center"/>
    </xf>
    <xf numFmtId="0" fontId="97" fillId="57" borderId="50" xfId="206" applyNumberFormat="1" applyFont="1" applyFill="1" applyBorder="1" applyAlignment="1">
      <alignment vertical="center"/>
    </xf>
    <xf numFmtId="0" fontId="97" fillId="57" borderId="58" xfId="206" applyNumberFormat="1" applyFont="1" applyFill="1" applyBorder="1" applyAlignment="1">
      <alignment vertical="center"/>
    </xf>
    <xf numFmtId="0" fontId="97" fillId="57" borderId="54" xfId="206" applyNumberFormat="1" applyFont="1" applyFill="1" applyBorder="1" applyAlignment="1">
      <alignment vertical="center"/>
    </xf>
    <xf numFmtId="0" fontId="97" fillId="57" borderId="1" xfId="206" applyNumberFormat="1" applyFont="1" applyFill="1" applyBorder="1" applyAlignment="1">
      <alignment vertical="center"/>
    </xf>
    <xf numFmtId="0" fontId="97" fillId="57" borderId="56" xfId="206" applyNumberFormat="1" applyFont="1" applyFill="1" applyBorder="1" applyAlignment="1">
      <alignment vertical="center"/>
    </xf>
    <xf numFmtId="0" fontId="97" fillId="57" borderId="45" xfId="206" applyNumberFormat="1" applyFont="1" applyFill="1" applyBorder="1" applyAlignment="1">
      <alignment vertical="center"/>
    </xf>
    <xf numFmtId="0" fontId="97" fillId="57" borderId="55" xfId="206" applyNumberFormat="1" applyFont="1" applyFill="1" applyBorder="1" applyAlignment="1">
      <alignment vertical="center"/>
    </xf>
    <xf numFmtId="0" fontId="2" fillId="2" borderId="52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2" fillId="2" borderId="57" xfId="0" applyFont="1" applyFill="1" applyBorder="1">
      <alignment vertical="center"/>
    </xf>
    <xf numFmtId="0" fontId="76" fillId="0" borderId="56" xfId="350" applyNumberFormat="1" applyFont="1" applyFill="1" applyBorder="1" applyAlignment="1">
      <alignment horizontal="left" vertical="center"/>
    </xf>
    <xf numFmtId="0" fontId="76" fillId="0" borderId="51" xfId="206" applyNumberFormat="1" applyFont="1" applyFill="1" applyBorder="1" applyAlignment="1">
      <alignment vertical="center"/>
    </xf>
    <xf numFmtId="0" fontId="76" fillId="0" borderId="56" xfId="206" applyNumberFormat="1" applyFont="1" applyFill="1" applyBorder="1" applyAlignment="1">
      <alignment horizontal="left" vertical="center"/>
    </xf>
    <xf numFmtId="0" fontId="97" fillId="0" borderId="51" xfId="206" applyNumberFormat="1" applyFont="1" applyFill="1" applyBorder="1" applyAlignment="1">
      <alignment vertical="center"/>
    </xf>
    <xf numFmtId="0" fontId="76" fillId="0" borderId="70" xfId="350" applyNumberFormat="1" applyFont="1" applyFill="1" applyBorder="1" applyAlignment="1">
      <alignment horizontal="left" vertical="center"/>
    </xf>
    <xf numFmtId="0" fontId="76" fillId="0" borderId="71" xfId="350" applyNumberFormat="1" applyFont="1" applyFill="1" applyBorder="1" applyAlignment="1">
      <alignment horizontal="left" vertical="center"/>
    </xf>
    <xf numFmtId="0" fontId="76" fillId="0" borderId="69" xfId="350" applyNumberFormat="1" applyFont="1" applyFill="1" applyBorder="1" applyAlignment="1">
      <alignment horizontal="left" vertical="center"/>
    </xf>
    <xf numFmtId="0" fontId="76" fillId="0" borderId="54" xfId="350" applyNumberFormat="1" applyFont="1" applyFill="1" applyBorder="1" applyAlignment="1">
      <alignment horizontal="left" vertical="center"/>
    </xf>
    <xf numFmtId="0" fontId="76" fillId="0" borderId="55" xfId="350" applyNumberFormat="1" applyFont="1" applyFill="1" applyBorder="1" applyAlignment="1">
      <alignment horizontal="left" vertical="center"/>
    </xf>
    <xf numFmtId="0" fontId="76" fillId="0" borderId="52" xfId="350" applyNumberFormat="1" applyFont="1" applyFill="1" applyBorder="1" applyAlignment="1">
      <alignment horizontal="left" vertical="center"/>
    </xf>
    <xf numFmtId="0" fontId="76" fillId="0" borderId="57" xfId="350" applyNumberFormat="1" applyFont="1" applyFill="1" applyBorder="1" applyAlignment="1">
      <alignment horizontal="left" vertical="center"/>
    </xf>
    <xf numFmtId="0" fontId="76" fillId="0" borderId="67" xfId="350" applyNumberFormat="1" applyFont="1" applyFill="1" applyBorder="1" applyAlignment="1">
      <alignment horizontal="left" vertical="center"/>
    </xf>
    <xf numFmtId="0" fontId="76" fillId="0" borderId="66" xfId="350" applyNumberFormat="1" applyFont="1" applyFill="1" applyBorder="1" applyAlignment="1">
      <alignment horizontal="left" vertical="center"/>
    </xf>
    <xf numFmtId="0" fontId="76" fillId="0" borderId="50" xfId="206" applyNumberFormat="1" applyFont="1" applyFill="1" applyBorder="1" applyAlignment="1">
      <alignment vertical="center"/>
    </xf>
    <xf numFmtId="0" fontId="76" fillId="0" borderId="49" xfId="206" applyNumberFormat="1" applyFont="1" applyFill="1" applyBorder="1" applyAlignment="1">
      <alignment vertical="center"/>
    </xf>
    <xf numFmtId="0" fontId="76" fillId="0" borderId="70" xfId="206" applyNumberFormat="1" applyFont="1" applyFill="1" applyBorder="1" applyAlignment="1">
      <alignment horizontal="left" vertical="center"/>
    </xf>
    <xf numFmtId="0" fontId="76" fillId="0" borderId="40" xfId="206" applyNumberFormat="1" applyFont="1" applyFill="1" applyBorder="1" applyAlignment="1">
      <alignment vertical="center"/>
    </xf>
    <xf numFmtId="0" fontId="76" fillId="0" borderId="71" xfId="206" applyNumberFormat="1" applyFont="1" applyFill="1" applyBorder="1" applyAlignment="1">
      <alignment horizontal="left" vertical="center"/>
    </xf>
    <xf numFmtId="0" fontId="76" fillId="0" borderId="54" xfId="206" applyNumberFormat="1" applyFont="1" applyFill="1" applyBorder="1" applyAlignment="1">
      <alignment horizontal="left" vertical="center"/>
    </xf>
    <xf numFmtId="0" fontId="97" fillId="0" borderId="50" xfId="206" applyNumberFormat="1" applyFont="1" applyFill="1" applyBorder="1" applyAlignment="1">
      <alignment vertical="center"/>
    </xf>
    <xf numFmtId="0" fontId="97" fillId="0" borderId="55" xfId="206" applyNumberFormat="1" applyFont="1" applyFill="1" applyBorder="1" applyAlignment="1">
      <alignment vertical="center"/>
    </xf>
    <xf numFmtId="0" fontId="97" fillId="0" borderId="56" xfId="206" applyNumberFormat="1" applyFont="1" applyFill="1" applyBorder="1" applyAlignment="1">
      <alignment vertical="center"/>
    </xf>
    <xf numFmtId="0" fontId="97" fillId="0" borderId="45" xfId="206" applyNumberFormat="1" applyFont="1" applyFill="1" applyBorder="1" applyAlignment="1">
      <alignment vertical="center"/>
    </xf>
    <xf numFmtId="0" fontId="97" fillId="0" borderId="1" xfId="206" applyNumberFormat="1" applyFont="1" applyFill="1" applyBorder="1" applyAlignment="1">
      <alignment vertical="center"/>
    </xf>
    <xf numFmtId="0" fontId="97" fillId="0" borderId="70" xfId="206" applyNumberFormat="1" applyFont="1" applyFill="1" applyBorder="1" applyAlignment="1">
      <alignment vertical="center"/>
    </xf>
    <xf numFmtId="0" fontId="97" fillId="0" borderId="40" xfId="206" applyNumberFormat="1" applyFont="1" applyFill="1" applyBorder="1" applyAlignment="1">
      <alignment vertical="center"/>
    </xf>
    <xf numFmtId="0" fontId="97" fillId="0" borderId="71" xfId="206" applyNumberFormat="1" applyFont="1" applyFill="1" applyBorder="1" applyAlignment="1">
      <alignment vertical="center"/>
    </xf>
    <xf numFmtId="0" fontId="97" fillId="0" borderId="49" xfId="206" applyNumberFormat="1" applyFont="1" applyFill="1" applyBorder="1" applyAlignment="1">
      <alignment vertical="center"/>
    </xf>
    <xf numFmtId="0" fontId="97" fillId="0" borderId="58" xfId="206" applyNumberFormat="1" applyFont="1" applyFill="1" applyBorder="1" applyAlignment="1">
      <alignment vertical="center"/>
    </xf>
    <xf numFmtId="0" fontId="97" fillId="0" borderId="54" xfId="206" applyNumberFormat="1" applyFont="1" applyFill="1" applyBorder="1" applyAlignment="1">
      <alignment vertical="center"/>
    </xf>
    <xf numFmtId="0" fontId="76" fillId="0" borderId="39" xfId="350" applyNumberFormat="1" applyFont="1" applyFill="1" applyBorder="1">
      <alignment vertical="center"/>
    </xf>
    <xf numFmtId="0" fontId="76" fillId="0" borderId="40" xfId="350" applyNumberFormat="1" applyFont="1" applyFill="1" applyBorder="1">
      <alignment vertical="center"/>
    </xf>
    <xf numFmtId="0" fontId="76" fillId="0" borderId="58" xfId="350" applyNumberFormat="1" applyFont="1" applyFill="1" applyBorder="1">
      <alignment vertical="center"/>
    </xf>
    <xf numFmtId="0" fontId="76" fillId="0" borderId="45" xfId="350" applyNumberFormat="1" applyFont="1" applyFill="1" applyBorder="1">
      <alignment vertical="center"/>
    </xf>
    <xf numFmtId="0" fontId="76" fillId="0" borderId="47" xfId="350" applyNumberFormat="1" applyFont="1" applyFill="1" applyBorder="1">
      <alignment vertical="center"/>
    </xf>
    <xf numFmtId="0" fontId="76" fillId="0" borderId="1" xfId="350" applyNumberFormat="1" applyFont="1" applyFill="1" applyBorder="1">
      <alignment vertical="center"/>
    </xf>
    <xf numFmtId="0" fontId="76" fillId="0" borderId="59" xfId="350" applyNumberFormat="1" applyFont="1" applyFill="1" applyBorder="1">
      <alignment vertical="center"/>
    </xf>
    <xf numFmtId="0" fontId="76" fillId="0" borderId="50" xfId="0" applyFont="1" applyFill="1" applyBorder="1">
      <alignment vertical="center"/>
    </xf>
    <xf numFmtId="0" fontId="76" fillId="0" borderId="55" xfId="0" applyFont="1" applyFill="1" applyBorder="1">
      <alignment vertical="center"/>
    </xf>
    <xf numFmtId="0" fontId="76" fillId="0" borderId="49" xfId="0" applyFont="1" applyFill="1" applyBorder="1">
      <alignment vertical="center"/>
    </xf>
    <xf numFmtId="0" fontId="76" fillId="0" borderId="54" xfId="0" applyFont="1" applyFill="1" applyBorder="1">
      <alignment vertical="center"/>
    </xf>
    <xf numFmtId="0" fontId="76" fillId="0" borderId="58" xfId="0" applyFont="1" applyFill="1" applyBorder="1">
      <alignment vertical="center"/>
    </xf>
    <xf numFmtId="0" fontId="76" fillId="0" borderId="45" xfId="0" applyFont="1" applyFill="1" applyBorder="1">
      <alignment vertical="center"/>
    </xf>
    <xf numFmtId="0" fontId="76" fillId="66" borderId="50" xfId="206" applyNumberFormat="1" applyFont="1" applyFill="1" applyBorder="1" applyAlignment="1">
      <alignment horizontal="left" vertical="center"/>
    </xf>
    <xf numFmtId="0" fontId="81" fillId="61" borderId="24" xfId="0" applyFont="1" applyFill="1" applyBorder="1" applyAlignment="1">
      <alignment horizontal="left" vertical="center" wrapText="1" shrinkToFit="1"/>
    </xf>
    <xf numFmtId="0" fontId="103" fillId="0" borderId="6" xfId="0" applyFont="1" applyBorder="1" applyProtection="1">
      <alignment vertical="center"/>
    </xf>
    <xf numFmtId="0" fontId="102" fillId="0" borderId="0" xfId="0" applyFont="1" applyProtection="1">
      <alignment vertical="center"/>
    </xf>
    <xf numFmtId="0" fontId="102" fillId="4" borderId="2" xfId="0" applyFont="1" applyFill="1" applyBorder="1" applyAlignment="1" applyProtection="1">
      <alignment horizontal="center" vertical="center"/>
    </xf>
    <xf numFmtId="0" fontId="54" fillId="61" borderId="24" xfId="0" applyFont="1" applyFill="1" applyBorder="1" applyAlignment="1">
      <alignment horizontal="left" vertical="center" wrapText="1"/>
    </xf>
    <xf numFmtId="0" fontId="107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4" fillId="65" borderId="24" xfId="0" applyFont="1" applyFill="1" applyBorder="1" applyAlignment="1">
      <alignment vertical="center" wrapText="1"/>
    </xf>
    <xf numFmtId="0" fontId="108" fillId="55" borderId="24" xfId="0" applyFont="1" applyFill="1" applyBorder="1" applyAlignment="1">
      <alignment horizontal="center" vertical="center" shrinkToFit="1"/>
    </xf>
    <xf numFmtId="0" fontId="84" fillId="0" borderId="0" xfId="0" applyFont="1">
      <alignment vertical="center"/>
    </xf>
    <xf numFmtId="0" fontId="108" fillId="55" borderId="24" xfId="0" applyFont="1" applyFill="1" applyBorder="1" applyAlignment="1" applyProtection="1">
      <alignment horizontal="center" vertical="center" wrapText="1"/>
    </xf>
    <xf numFmtId="0" fontId="109" fillId="55" borderId="24" xfId="0" applyFont="1" applyFill="1" applyBorder="1" applyAlignment="1" applyProtection="1">
      <alignment horizontal="center" vertical="center" shrinkToFit="1"/>
    </xf>
    <xf numFmtId="0" fontId="110" fillId="55" borderId="24" xfId="0" applyFont="1" applyFill="1" applyBorder="1" applyAlignment="1" applyProtection="1">
      <alignment horizontal="left" vertical="center" wrapText="1"/>
    </xf>
    <xf numFmtId="0" fontId="110" fillId="55" borderId="24" xfId="0" applyFont="1" applyFill="1" applyBorder="1" applyAlignment="1" applyProtection="1">
      <alignment horizontal="center" vertical="center" wrapText="1"/>
    </xf>
    <xf numFmtId="0" fontId="111" fillId="55" borderId="24" xfId="0" applyFont="1" applyFill="1" applyBorder="1" applyAlignment="1" applyProtection="1">
      <alignment horizontal="left" vertical="center" wrapText="1"/>
    </xf>
    <xf numFmtId="0" fontId="111" fillId="55" borderId="24" xfId="0" applyFont="1" applyFill="1" applyBorder="1" applyAlignment="1" applyProtection="1">
      <alignment horizontal="center" vertical="center" wrapText="1"/>
    </xf>
    <xf numFmtId="0" fontId="111" fillId="55" borderId="24" xfId="0" applyFont="1" applyFill="1" applyBorder="1" applyAlignment="1" applyProtection="1">
      <alignment vertical="center" wrapText="1"/>
    </xf>
    <xf numFmtId="0" fontId="111" fillId="0" borderId="0" xfId="0" applyFont="1" applyFill="1" applyProtection="1">
      <alignment vertical="center"/>
    </xf>
    <xf numFmtId="0" fontId="111" fillId="0" borderId="0" xfId="0" applyFont="1" applyProtection="1">
      <alignment vertical="center"/>
    </xf>
    <xf numFmtId="176" fontId="113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7" fillId="55" borderId="24" xfId="0" applyFont="1" applyFill="1" applyBorder="1" applyAlignment="1" applyProtection="1">
      <alignment horizontal="center" vertical="center"/>
    </xf>
    <xf numFmtId="0" fontId="58" fillId="0" borderId="41" xfId="0" applyFont="1" applyBorder="1" applyAlignment="1" applyProtection="1">
      <alignment vertical="center"/>
    </xf>
    <xf numFmtId="0" fontId="117" fillId="4" borderId="2" xfId="0" applyFont="1" applyFill="1" applyBorder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86" fillId="55" borderId="24" xfId="0" applyFont="1" applyFill="1" applyBorder="1" applyAlignment="1" applyProtection="1">
      <alignment horizontal="center" vertical="center" wrapText="1"/>
    </xf>
    <xf numFmtId="0" fontId="120" fillId="0" borderId="0" xfId="0" applyFont="1" applyAlignment="1" applyProtection="1">
      <alignment vertical="center" wrapText="1" shrinkToFit="1"/>
    </xf>
    <xf numFmtId="0" fontId="121" fillId="0" borderId="0" xfId="0" applyFont="1" applyProtection="1">
      <alignment vertical="center"/>
    </xf>
    <xf numFmtId="0" fontId="54" fillId="59" borderId="24" xfId="0" applyFont="1" applyFill="1" applyBorder="1" applyAlignment="1">
      <alignment horizontal="center" vertical="center"/>
    </xf>
    <xf numFmtId="0" fontId="68" fillId="55" borderId="24" xfId="0" applyFont="1" applyFill="1" applyBorder="1" applyAlignment="1">
      <alignment horizontal="center" vertical="center" wrapText="1" shrinkToFit="1"/>
    </xf>
    <xf numFmtId="0" fontId="109" fillId="55" borderId="24" xfId="0" applyFont="1" applyFill="1" applyBorder="1" applyAlignment="1" applyProtection="1">
      <alignment horizontal="center" vertical="center" shrinkToFit="1"/>
    </xf>
    <xf numFmtId="177" fontId="77" fillId="59" borderId="72" xfId="0" applyNumberFormat="1" applyFont="1" applyFill="1" applyBorder="1">
      <alignment vertical="center"/>
    </xf>
    <xf numFmtId="177" fontId="77" fillId="59" borderId="73" xfId="0" applyNumberFormat="1" applyFont="1" applyFill="1" applyBorder="1">
      <alignment vertical="center"/>
    </xf>
    <xf numFmtId="177" fontId="77" fillId="59" borderId="74" xfId="0" applyNumberFormat="1" applyFont="1" applyFill="1" applyBorder="1">
      <alignment vertical="center"/>
    </xf>
    <xf numFmtId="0" fontId="86" fillId="55" borderId="24" xfId="0" applyFont="1" applyFill="1" applyBorder="1" applyAlignment="1" applyProtection="1">
      <alignment horizontal="center" vertical="center"/>
    </xf>
    <xf numFmtId="0" fontId="124" fillId="55" borderId="24" xfId="0" applyFont="1" applyFill="1" applyBorder="1" applyAlignment="1" applyProtection="1">
      <alignment horizontal="center" vertical="center" wrapText="1"/>
    </xf>
    <xf numFmtId="41" fontId="2" fillId="0" borderId="0" xfId="0" applyNumberFormat="1" applyFont="1">
      <alignment vertical="center"/>
    </xf>
    <xf numFmtId="0" fontId="102" fillId="4" borderId="2" xfId="0" applyFont="1" applyFill="1" applyBorder="1" applyAlignment="1" applyProtection="1">
      <alignment horizontal="center" vertical="center"/>
    </xf>
    <xf numFmtId="0" fontId="97" fillId="57" borderId="48" xfId="206" applyNumberFormat="1" applyFont="1" applyFill="1" applyBorder="1" applyAlignment="1">
      <alignment vertical="center"/>
    </xf>
    <xf numFmtId="0" fontId="97" fillId="57" borderId="77" xfId="206" applyNumberFormat="1" applyFont="1" applyFill="1" applyBorder="1" applyAlignment="1">
      <alignment vertical="center"/>
    </xf>
    <xf numFmtId="0" fontId="97" fillId="57" borderId="78" xfId="206" applyNumberFormat="1" applyFont="1" applyFill="1" applyBorder="1" applyAlignment="1">
      <alignment vertical="center"/>
    </xf>
    <xf numFmtId="0" fontId="97" fillId="0" borderId="51" xfId="350" applyNumberFormat="1" applyFont="1" applyFill="1" applyBorder="1" applyAlignment="1">
      <alignment horizontal="left" vertical="center"/>
    </xf>
    <xf numFmtId="0" fontId="97" fillId="0" borderId="50" xfId="350" applyNumberFormat="1" applyFont="1" applyFill="1" applyBorder="1" applyAlignment="1">
      <alignment horizontal="left" vertical="center"/>
    </xf>
    <xf numFmtId="0" fontId="97" fillId="0" borderId="49" xfId="350" applyNumberFormat="1" applyFont="1" applyFill="1" applyBorder="1" applyAlignment="1">
      <alignment horizontal="left" vertical="center"/>
    </xf>
    <xf numFmtId="0" fontId="60" fillId="59" borderId="24" xfId="0" applyFont="1" applyFill="1" applyBorder="1" applyAlignment="1">
      <alignment horizontal="center" vertical="center"/>
    </xf>
    <xf numFmtId="0" fontId="60" fillId="59" borderId="24" xfId="0" applyFont="1" applyFill="1" applyBorder="1" applyAlignment="1">
      <alignment horizontal="center" vertical="center" wrapText="1"/>
    </xf>
    <xf numFmtId="0" fontId="53" fillId="0" borderId="80" xfId="0" applyFont="1" applyBorder="1" applyAlignment="1" applyProtection="1">
      <alignment vertical="center"/>
    </xf>
    <xf numFmtId="176" fontId="60" fillId="59" borderId="24" xfId="1" applyNumberFormat="1" applyFont="1" applyFill="1" applyBorder="1" applyAlignment="1" applyProtection="1">
      <alignment horizontal="right" vertical="center"/>
    </xf>
    <xf numFmtId="0" fontId="102" fillId="4" borderId="2" xfId="0" applyFont="1" applyFill="1" applyBorder="1" applyAlignment="1" applyProtection="1">
      <alignment horizontal="center" vertical="center" wrapText="1"/>
    </xf>
    <xf numFmtId="0" fontId="117" fillId="4" borderId="2" xfId="0" applyFont="1" applyFill="1" applyBorder="1" applyAlignment="1" applyProtection="1">
      <alignment horizontal="center" vertical="center"/>
    </xf>
    <xf numFmtId="176" fontId="80" fillId="0" borderId="24" xfId="1" applyNumberFormat="1" applyFont="1" applyFill="1" applyBorder="1" applyAlignment="1" applyProtection="1">
      <alignment horizontal="center" vertical="center" shrinkToFit="1"/>
    </xf>
    <xf numFmtId="0" fontId="55" fillId="59" borderId="24" xfId="0" applyFont="1" applyFill="1" applyBorder="1" applyAlignment="1">
      <alignment horizontal="center" vertical="center"/>
    </xf>
    <xf numFmtId="176" fontId="53" fillId="0" borderId="24" xfId="1" applyNumberFormat="1" applyFont="1" applyFill="1" applyBorder="1" applyAlignment="1" applyProtection="1">
      <alignment horizontal="right" vertical="center"/>
    </xf>
    <xf numFmtId="0" fontId="54" fillId="0" borderId="2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4" fillId="0" borderId="0" xfId="0" applyFont="1" applyProtection="1">
      <alignment vertical="center"/>
    </xf>
    <xf numFmtId="176" fontId="79" fillId="65" borderId="24" xfId="1" applyNumberFormat="1" applyFont="1" applyFill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center" vertical="center" shrinkToFit="1"/>
    </xf>
    <xf numFmtId="0" fontId="78" fillId="0" borderId="24" xfId="0" applyFont="1" applyFill="1" applyBorder="1" applyAlignment="1" applyProtection="1">
      <alignment horizontal="center" vertical="center" shrinkToFit="1"/>
    </xf>
    <xf numFmtId="0" fontId="54" fillId="0" borderId="24" xfId="0" applyFont="1" applyFill="1" applyBorder="1" applyAlignment="1">
      <alignment horizontal="center" vertical="center"/>
    </xf>
    <xf numFmtId="0" fontId="78" fillId="0" borderId="24" xfId="0" applyFont="1" applyFill="1" applyBorder="1" applyProtection="1">
      <alignment vertical="center"/>
    </xf>
    <xf numFmtId="0" fontId="78" fillId="0" borderId="24" xfId="0" applyFont="1" applyFill="1" applyBorder="1" applyAlignment="1" applyProtection="1">
      <alignment horizontal="center" vertical="center"/>
    </xf>
    <xf numFmtId="0" fontId="82" fillId="0" borderId="24" xfId="0" applyFont="1" applyBorder="1" applyAlignment="1" applyProtection="1">
      <alignment horizontal="center" vertical="center"/>
    </xf>
    <xf numFmtId="176" fontId="82" fillId="0" borderId="24" xfId="1" applyNumberFormat="1" applyFont="1" applyBorder="1" applyAlignment="1" applyProtection="1">
      <alignment horizontal="right" vertical="center"/>
    </xf>
    <xf numFmtId="0" fontId="82" fillId="0" borderId="0" xfId="0" applyFont="1" applyProtection="1">
      <alignment vertical="center"/>
    </xf>
    <xf numFmtId="176" fontId="82" fillId="0" borderId="4" xfId="1" applyNumberFormat="1" applyFont="1" applyBorder="1" applyAlignment="1" applyProtection="1">
      <alignment horizontal="right" vertical="center"/>
    </xf>
    <xf numFmtId="0" fontId="82" fillId="0" borderId="32" xfId="0" applyFont="1" applyBorder="1" applyAlignment="1" applyProtection="1">
      <alignment horizontal="center" vertical="center"/>
    </xf>
    <xf numFmtId="0" fontId="82" fillId="0" borderId="24" xfId="0" applyFont="1" applyFill="1" applyBorder="1" applyAlignment="1" applyProtection="1">
      <alignment vertical="center" shrinkToFit="1"/>
    </xf>
    <xf numFmtId="0" fontId="82" fillId="0" borderId="24" xfId="0" applyFont="1" applyFill="1" applyBorder="1" applyAlignment="1" applyProtection="1">
      <alignment horizontal="center" vertical="center"/>
    </xf>
    <xf numFmtId="0" fontId="82" fillId="0" borderId="24" xfId="0" applyFont="1" applyBorder="1" applyAlignment="1" applyProtection="1">
      <alignment horizontal="center" vertical="center" shrinkToFit="1"/>
    </xf>
    <xf numFmtId="0" fontId="82" fillId="0" borderId="6" xfId="0" applyFont="1" applyBorder="1" applyProtection="1">
      <alignment vertical="center"/>
    </xf>
    <xf numFmtId="0" fontId="82" fillId="0" borderId="3" xfId="0" applyFont="1" applyBorder="1" applyAlignment="1" applyProtection="1">
      <alignment horizontal="center" vertical="center"/>
    </xf>
    <xf numFmtId="0" fontId="78" fillId="0" borderId="24" xfId="0" applyFont="1" applyFill="1" applyBorder="1" applyAlignment="1" applyProtection="1">
      <alignment vertical="center" shrinkToFit="1"/>
    </xf>
    <xf numFmtId="176" fontId="82" fillId="0" borderId="3" xfId="1" applyNumberFormat="1" applyFont="1" applyBorder="1" applyAlignment="1" applyProtection="1">
      <alignment horizontal="right" vertical="center"/>
    </xf>
    <xf numFmtId="0" fontId="102" fillId="0" borderId="0" xfId="0" applyFont="1" applyAlignment="1" applyProtection="1">
      <alignment horizontal="center" vertical="center"/>
    </xf>
    <xf numFmtId="0" fontId="131" fillId="0" borderId="24" xfId="0" applyFont="1" applyBorder="1" applyAlignment="1">
      <alignment horizontal="left" vertical="center" shrinkToFit="1"/>
    </xf>
    <xf numFmtId="0" fontId="131" fillId="0" borderId="24" xfId="0" applyFont="1" applyBorder="1" applyAlignment="1">
      <alignment horizontal="center" vertical="center" shrinkToFit="1"/>
    </xf>
    <xf numFmtId="0" fontId="88" fillId="55" borderId="24" xfId="0" applyFont="1" applyFill="1" applyBorder="1" applyAlignment="1" applyProtection="1">
      <alignment horizontal="center" vertical="center"/>
    </xf>
    <xf numFmtId="0" fontId="80" fillId="0" borderId="24" xfId="0" applyFont="1" applyBorder="1" applyAlignment="1">
      <alignment vertical="center" shrinkToFit="1"/>
    </xf>
    <xf numFmtId="0" fontId="82" fillId="0" borderId="24" xfId="0" applyFont="1" applyBorder="1" applyAlignment="1">
      <alignment horizontal="left" vertical="center" shrinkToFit="1"/>
    </xf>
    <xf numFmtId="0" fontId="80" fillId="0" borderId="24" xfId="0" applyFont="1" applyBorder="1" applyAlignment="1">
      <alignment horizontal="left" vertical="center" shrinkToFit="1"/>
    </xf>
    <xf numFmtId="0" fontId="80" fillId="0" borderId="24" xfId="0" applyFont="1" applyBorder="1" applyAlignment="1">
      <alignment horizontal="left" vertical="center" wrapText="1"/>
    </xf>
    <xf numFmtId="0" fontId="82" fillId="0" borderId="0" xfId="0" applyFont="1">
      <alignment vertical="center"/>
    </xf>
    <xf numFmtId="0" fontId="82" fillId="0" borderId="34" xfId="0" applyFont="1" applyBorder="1" applyAlignment="1" applyProtection="1">
      <alignment horizontal="center" vertical="center"/>
    </xf>
    <xf numFmtId="0" fontId="79" fillId="55" borderId="24" xfId="0" applyFont="1" applyFill="1" applyBorder="1" applyAlignment="1">
      <alignment horizontal="center" vertical="center" shrinkToFit="1"/>
    </xf>
    <xf numFmtId="0" fontId="131" fillId="55" borderId="24" xfId="0" applyFont="1" applyFill="1" applyBorder="1" applyAlignment="1">
      <alignment horizontal="left" vertical="center" shrinkToFit="1"/>
    </xf>
    <xf numFmtId="0" fontId="131" fillId="55" borderId="24" xfId="0" applyFont="1" applyFill="1" applyBorder="1" applyAlignment="1">
      <alignment horizontal="center" vertical="center" shrinkToFit="1"/>
    </xf>
    <xf numFmtId="0" fontId="79" fillId="55" borderId="24" xfId="0" applyFont="1" applyFill="1" applyBorder="1" applyAlignment="1">
      <alignment horizontal="left" vertical="center" shrinkToFit="1"/>
    </xf>
    <xf numFmtId="0" fontId="79" fillId="55" borderId="24" xfId="0" applyFont="1" applyFill="1" applyBorder="1" applyAlignment="1">
      <alignment vertical="center" wrapText="1"/>
    </xf>
    <xf numFmtId="0" fontId="80" fillId="0" borderId="24" xfId="0" applyFont="1" applyBorder="1" applyAlignment="1" applyProtection="1">
      <alignment vertical="center" shrinkToFit="1"/>
    </xf>
    <xf numFmtId="0" fontId="80" fillId="0" borderId="24" xfId="0" applyFont="1" applyFill="1" applyBorder="1" applyAlignment="1" applyProtection="1">
      <alignment vertical="center" shrinkToFit="1"/>
    </xf>
    <xf numFmtId="0" fontId="80" fillId="0" borderId="24" xfId="0" applyFont="1" applyFill="1" applyBorder="1" applyAlignment="1" applyProtection="1">
      <alignment horizontal="center" vertical="center" shrinkToFit="1"/>
    </xf>
    <xf numFmtId="0" fontId="131" fillId="0" borderId="24" xfId="0" applyFont="1" applyFill="1" applyBorder="1" applyAlignment="1" applyProtection="1">
      <alignment horizontal="left" vertical="center" shrinkToFit="1"/>
    </xf>
    <xf numFmtId="0" fontId="80" fillId="0" borderId="24" xfId="0" applyFont="1" applyBorder="1" applyAlignment="1" applyProtection="1">
      <alignment horizontal="left" vertical="center" shrinkToFit="1"/>
    </xf>
    <xf numFmtId="0" fontId="80" fillId="0" borderId="24" xfId="0" applyFont="1" applyFill="1" applyBorder="1" applyAlignment="1" applyProtection="1">
      <alignment horizontal="left" vertical="center" shrinkToFit="1"/>
    </xf>
    <xf numFmtId="0" fontId="82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0" fillId="0" borderId="32" xfId="0" applyFont="1" applyBorder="1" applyAlignment="1" applyProtection="1">
      <alignment horizontal="center" vertical="center"/>
    </xf>
    <xf numFmtId="0" fontId="80" fillId="0" borderId="24" xfId="0" applyFont="1" applyBorder="1" applyAlignment="1" applyProtection="1">
      <alignment horizontal="center" vertical="center"/>
    </xf>
    <xf numFmtId="0" fontId="80" fillId="0" borderId="24" xfId="0" applyFont="1" applyFill="1" applyBorder="1" applyAlignment="1" applyProtection="1">
      <alignment horizontal="center" vertical="center"/>
    </xf>
    <xf numFmtId="0" fontId="131" fillId="0" borderId="24" xfId="0" applyFont="1" applyFill="1" applyBorder="1" applyAlignment="1" applyProtection="1">
      <alignment horizontal="left" vertical="center"/>
    </xf>
    <xf numFmtId="0" fontId="82" fillId="0" borderId="24" xfId="0" applyFont="1" applyFill="1" applyBorder="1" applyAlignment="1" applyProtection="1">
      <alignment horizontal="left" vertical="center" wrapText="1"/>
    </xf>
    <xf numFmtId="0" fontId="80" fillId="0" borderId="24" xfId="0" applyFont="1" applyBorder="1" applyAlignment="1" applyProtection="1">
      <alignment horizontal="left" vertical="center" wrapText="1"/>
    </xf>
    <xf numFmtId="0" fontId="80" fillId="0" borderId="24" xfId="0" applyFont="1" applyFill="1" applyBorder="1" applyAlignment="1" applyProtection="1">
      <alignment horizontal="left" vertical="center" wrapText="1"/>
    </xf>
    <xf numFmtId="0" fontId="124" fillId="0" borderId="24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3" fillId="0" borderId="24" xfId="0" applyFont="1" applyFill="1" applyBorder="1" applyAlignment="1" applyProtection="1">
      <alignment horizontal="center" vertical="center"/>
    </xf>
    <xf numFmtId="0" fontId="131" fillId="0" borderId="24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5" fillId="63" borderId="63" xfId="0" applyFont="1" applyFill="1" applyBorder="1" applyAlignment="1">
      <alignment horizontal="left" vertical="center" wrapText="1"/>
    </xf>
    <xf numFmtId="0" fontId="95" fillId="64" borderId="63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8" fillId="0" borderId="0" xfId="0" applyFont="1" applyBorder="1" applyAlignment="1" applyProtection="1">
      <alignment vertical="center" wrapText="1"/>
    </xf>
    <xf numFmtId="0" fontId="121" fillId="0" borderId="0" xfId="0" applyFont="1" applyAlignment="1" applyProtection="1">
      <alignment horizontal="center" vertical="center"/>
    </xf>
    <xf numFmtId="0" fontId="136" fillId="0" borderId="24" xfId="0" applyFont="1" applyBorder="1" applyAlignment="1" applyProtection="1">
      <alignment horizontal="center" vertical="center" wrapText="1"/>
    </xf>
    <xf numFmtId="0" fontId="128" fillId="0" borderId="41" xfId="0" applyFont="1" applyBorder="1" applyAlignment="1" applyProtection="1">
      <alignment vertical="center" wrapText="1"/>
    </xf>
    <xf numFmtId="0" fontId="107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6" fillId="0" borderId="0" xfId="0" applyFont="1" applyAlignment="1" applyProtection="1">
      <alignment horizontal="left" vertical="center"/>
    </xf>
    <xf numFmtId="0" fontId="64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2" fillId="0" borderId="24" xfId="1" applyNumberFormat="1" applyFont="1" applyFill="1" applyBorder="1" applyAlignment="1" applyProtection="1">
      <alignment horizontal="right" vertical="center" shrinkToFit="1"/>
    </xf>
    <xf numFmtId="177" fontId="11" fillId="6" borderId="24" xfId="1" applyNumberFormat="1" applyFont="1" applyFill="1" applyBorder="1" applyAlignment="1" applyProtection="1">
      <alignment horizontal="right" vertical="center"/>
    </xf>
    <xf numFmtId="177" fontId="79" fillId="65" borderId="24" xfId="1" applyNumberFormat="1" applyFont="1" applyFill="1" applyBorder="1" applyAlignment="1" applyProtection="1">
      <alignment horizontal="right" vertical="center" wrapText="1"/>
    </xf>
    <xf numFmtId="177" fontId="79" fillId="61" borderId="24" xfId="1" applyNumberFormat="1" applyFont="1" applyFill="1" applyBorder="1" applyAlignment="1" applyProtection="1">
      <alignment horizontal="right" vertical="center" wrapText="1"/>
    </xf>
    <xf numFmtId="177" fontId="79" fillId="59" borderId="24" xfId="1" applyNumberFormat="1" applyFont="1" applyFill="1" applyBorder="1" applyAlignment="1" applyProtection="1">
      <alignment horizontal="right" vertical="center" wrapText="1"/>
    </xf>
    <xf numFmtId="177" fontId="81" fillId="3" borderId="24" xfId="1" applyNumberFormat="1" applyFont="1" applyFill="1" applyBorder="1" applyAlignment="1" applyProtection="1">
      <alignment horizontal="right" vertical="center" wrapText="1"/>
    </xf>
    <xf numFmtId="177" fontId="80" fillId="59" borderId="24" xfId="1" applyNumberFormat="1" applyFont="1" applyFill="1" applyBorder="1" applyAlignment="1" applyProtection="1">
      <alignment horizontal="right" vertical="center" wrapText="1"/>
    </xf>
    <xf numFmtId="177" fontId="53" fillId="6" borderId="24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3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2" fillId="4" borderId="2" xfId="0" applyNumberFormat="1" applyFont="1" applyFill="1" applyBorder="1" applyAlignment="1" applyProtection="1">
      <alignment horizontal="center" vertical="center"/>
    </xf>
    <xf numFmtId="177" fontId="82" fillId="6" borderId="24" xfId="1" applyNumberFormat="1" applyFont="1" applyFill="1" applyBorder="1" applyAlignment="1" applyProtection="1">
      <alignment horizontal="right" vertical="center"/>
    </xf>
    <xf numFmtId="177" fontId="84" fillId="59" borderId="24" xfId="0" applyNumberFormat="1" applyFont="1" applyFill="1" applyBorder="1" applyAlignment="1">
      <alignment horizontal="right" vertical="center"/>
    </xf>
    <xf numFmtId="177" fontId="60" fillId="59" borderId="24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0" fillId="0" borderId="24" xfId="1" applyNumberFormat="1" applyFont="1" applyFill="1" applyBorder="1" applyAlignment="1" applyProtection="1">
      <alignment horizontal="right" vertical="center" shrinkToFit="1"/>
    </xf>
    <xf numFmtId="177" fontId="80" fillId="6" borderId="24" xfId="1" applyNumberFormat="1" applyFont="1" applyFill="1" applyBorder="1" applyAlignment="1" applyProtection="1">
      <alignment horizontal="right" vertical="center" shrinkToFit="1"/>
    </xf>
    <xf numFmtId="177" fontId="68" fillId="6" borderId="24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3" fillId="0" borderId="0" xfId="0" applyNumberFormat="1" applyFont="1" applyAlignment="1" applyProtection="1">
      <alignment horizontal="right" vertical="center"/>
    </xf>
    <xf numFmtId="177" fontId="102" fillId="4" borderId="24" xfId="0" applyNumberFormat="1" applyFont="1" applyFill="1" applyBorder="1" applyAlignment="1" applyProtection="1">
      <alignment horizontal="center" vertical="center"/>
    </xf>
    <xf numFmtId="177" fontId="131" fillId="6" borderId="24" xfId="1" applyNumberFormat="1" applyFont="1" applyFill="1" applyBorder="1" applyAlignment="1" applyProtection="1">
      <alignment horizontal="right" vertical="center"/>
    </xf>
    <xf numFmtId="177" fontId="109" fillId="6" borderId="24" xfId="1" applyNumberFormat="1" applyFont="1" applyFill="1" applyBorder="1" applyAlignment="1" applyProtection="1">
      <alignment horizontal="right" vertical="center" shrinkToFit="1"/>
    </xf>
    <xf numFmtId="177" fontId="109" fillId="6" borderId="24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2" fillId="0" borderId="10" xfId="1" applyNumberFormat="1" applyFont="1" applyFill="1" applyBorder="1" applyAlignment="1" applyProtection="1">
      <alignment horizontal="right" vertical="center"/>
    </xf>
    <xf numFmtId="177" fontId="54" fillId="61" borderId="24" xfId="1" applyNumberFormat="1" applyFont="1" applyFill="1" applyBorder="1" applyAlignment="1" applyProtection="1">
      <alignment horizontal="right" vertical="center"/>
    </xf>
    <xf numFmtId="177" fontId="54" fillId="59" borderId="24" xfId="1" applyNumberFormat="1" applyFont="1" applyFill="1" applyBorder="1" applyAlignment="1" applyProtection="1">
      <alignment horizontal="right" vertical="center"/>
    </xf>
    <xf numFmtId="177" fontId="54" fillId="3" borderId="24" xfId="1" applyNumberFormat="1" applyFont="1" applyFill="1" applyBorder="1" applyAlignment="1" applyProtection="1">
      <alignment horizontal="right" vertical="center"/>
    </xf>
    <xf numFmtId="177" fontId="60" fillId="0" borderId="0" xfId="0" applyNumberFormat="1" applyFont="1" applyProtection="1">
      <alignment vertical="center"/>
    </xf>
    <xf numFmtId="177" fontId="119" fillId="0" borderId="0" xfId="0" applyNumberFormat="1" applyFont="1" applyProtection="1">
      <alignment vertical="center"/>
    </xf>
    <xf numFmtId="177" fontId="82" fillId="0" borderId="24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7" fillId="4" borderId="2" xfId="0" applyNumberFormat="1" applyFont="1" applyFill="1" applyBorder="1" applyAlignment="1" applyProtection="1">
      <alignment horizontal="center" vertical="center"/>
    </xf>
    <xf numFmtId="177" fontId="60" fillId="59" borderId="30" xfId="0" applyNumberFormat="1" applyFont="1" applyFill="1" applyBorder="1" applyAlignment="1">
      <alignment horizontal="right" vertical="center"/>
    </xf>
    <xf numFmtId="177" fontId="60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0" fillId="0" borderId="24" xfId="1" applyNumberFormat="1" applyFont="1" applyFill="1" applyBorder="1" applyAlignment="1" applyProtection="1">
      <alignment horizontal="right" vertical="center"/>
    </xf>
    <xf numFmtId="177" fontId="54" fillId="0" borderId="0" xfId="0" applyNumberFormat="1" applyFont="1" applyProtection="1">
      <alignment vertical="center"/>
    </xf>
    <xf numFmtId="177" fontId="54" fillId="0" borderId="0" xfId="0" applyNumberFormat="1" applyFont="1" applyFill="1" applyProtection="1">
      <alignment vertical="center"/>
    </xf>
    <xf numFmtId="177" fontId="53" fillId="0" borderId="0" xfId="0" applyNumberFormat="1" applyFont="1" applyProtection="1">
      <alignment vertical="center"/>
    </xf>
    <xf numFmtId="177" fontId="61" fillId="0" borderId="0" xfId="0" applyNumberFormat="1" applyFont="1" applyProtection="1">
      <alignment vertical="center"/>
    </xf>
    <xf numFmtId="177" fontId="55" fillId="3" borderId="24" xfId="1" applyNumberFormat="1" applyFont="1" applyFill="1" applyBorder="1" applyAlignment="1" applyProtection="1">
      <alignment horizontal="right" vertical="center"/>
    </xf>
    <xf numFmtId="177" fontId="55" fillId="59" borderId="24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8" fillId="0" borderId="0" xfId="0" applyNumberFormat="1" applyFont="1" applyAlignment="1" applyProtection="1">
      <alignment horizontal="center" vertical="center"/>
    </xf>
    <xf numFmtId="177" fontId="117" fillId="4" borderId="32" xfId="0" applyNumberFormat="1" applyFont="1" applyFill="1" applyBorder="1" applyAlignment="1" applyProtection="1">
      <alignment horizontal="center" vertical="center"/>
    </xf>
    <xf numFmtId="177" fontId="82" fillId="0" borderId="24" xfId="1" applyNumberFormat="1" applyFont="1" applyBorder="1" applyAlignment="1" applyProtection="1">
      <alignment horizontal="right" vertical="center"/>
    </xf>
    <xf numFmtId="177" fontId="60" fillId="59" borderId="24" xfId="0" applyNumberFormat="1" applyFont="1" applyFill="1" applyBorder="1" applyAlignment="1">
      <alignment horizontal="right" vertical="center"/>
    </xf>
    <xf numFmtId="177" fontId="102" fillId="4" borderId="32" xfId="0" applyNumberFormat="1" applyFont="1" applyFill="1" applyBorder="1" applyAlignment="1" applyProtection="1">
      <alignment horizontal="center" vertical="center"/>
    </xf>
    <xf numFmtId="177" fontId="82" fillId="0" borderId="4" xfId="1" applyNumberFormat="1" applyFont="1" applyBorder="1" applyAlignment="1" applyProtection="1">
      <alignment horizontal="right" vertical="center"/>
    </xf>
    <xf numFmtId="177" fontId="75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5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5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5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1" xfId="0" applyNumberFormat="1" applyFont="1" applyFill="1" applyBorder="1">
      <alignment vertical="center"/>
    </xf>
    <xf numFmtId="177" fontId="3" fillId="7" borderId="81" xfId="0" applyNumberFormat="1" applyFont="1" applyFill="1" applyBorder="1">
      <alignment vertical="center"/>
    </xf>
    <xf numFmtId="0" fontId="54" fillId="59" borderId="24" xfId="0" applyFont="1" applyFill="1" applyBorder="1" applyAlignment="1">
      <alignment horizontal="center" vertical="center" wrapText="1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shrinkToFit="1"/>
    </xf>
    <xf numFmtId="0" fontId="81" fillId="0" borderId="24" xfId="0" applyFont="1" applyFill="1" applyBorder="1" applyAlignment="1">
      <alignment horizontal="center" vertical="center" wrapText="1"/>
    </xf>
    <xf numFmtId="177" fontId="77" fillId="59" borderId="86" xfId="0" applyNumberFormat="1" applyFont="1" applyFill="1" applyBorder="1">
      <alignment vertical="center"/>
    </xf>
    <xf numFmtId="177" fontId="77" fillId="59" borderId="87" xfId="0" applyNumberFormat="1" applyFont="1" applyFill="1" applyBorder="1">
      <alignment vertical="center"/>
    </xf>
    <xf numFmtId="177" fontId="77" fillId="59" borderId="44" xfId="0" applyNumberFormat="1" applyFont="1" applyFill="1" applyBorder="1">
      <alignment vertical="center"/>
    </xf>
    <xf numFmtId="177" fontId="77" fillId="59" borderId="88" xfId="0" applyNumberFormat="1" applyFont="1" applyFill="1" applyBorder="1">
      <alignment vertical="center"/>
    </xf>
    <xf numFmtId="177" fontId="77" fillId="59" borderId="89" xfId="0" applyNumberFormat="1" applyFont="1" applyFill="1" applyBorder="1">
      <alignment vertical="center"/>
    </xf>
    <xf numFmtId="0" fontId="9" fillId="65" borderId="24" xfId="0" applyFont="1" applyFill="1" applyBorder="1" applyAlignment="1">
      <alignment horizontal="center" vertical="center" wrapText="1"/>
    </xf>
    <xf numFmtId="0" fontId="89" fillId="0" borderId="0" xfId="0" applyFont="1" applyBorder="1" applyAlignment="1" applyProtection="1">
      <alignment horizontal="left" vertical="center" shrinkToFit="1"/>
    </xf>
    <xf numFmtId="0" fontId="67" fillId="0" borderId="0" xfId="0" applyFont="1" applyBorder="1" applyAlignment="1" applyProtection="1">
      <alignment horizontal="left" vertical="center" shrinkToFit="1"/>
    </xf>
    <xf numFmtId="0" fontId="108" fillId="55" borderId="24" xfId="0" applyFont="1" applyFill="1" applyBorder="1" applyAlignment="1" applyProtection="1">
      <alignment horizontal="left" vertical="center" wrapText="1"/>
    </xf>
    <xf numFmtId="0" fontId="113" fillId="65" borderId="24" xfId="0" applyFont="1" applyFill="1" applyBorder="1" applyAlignment="1">
      <alignment vertical="center" wrapText="1" shrinkToFit="1"/>
    </xf>
    <xf numFmtId="0" fontId="141" fillId="67" borderId="0" xfId="373">
      <alignment vertical="center"/>
    </xf>
    <xf numFmtId="176" fontId="131" fillId="6" borderId="24" xfId="1" applyNumberFormat="1" applyFont="1" applyFill="1" applyBorder="1" applyAlignment="1" applyProtection="1">
      <alignment horizontal="center" vertical="center"/>
    </xf>
    <xf numFmtId="177" fontId="11" fillId="6" borderId="24" xfId="1" applyNumberFormat="1" applyFont="1" applyFill="1" applyBorder="1" applyAlignment="1" applyProtection="1">
      <alignment horizontal="center" vertical="center"/>
    </xf>
    <xf numFmtId="177" fontId="53" fillId="6" borderId="24" xfId="1" applyNumberFormat="1" applyFont="1" applyFill="1" applyBorder="1" applyAlignment="1" applyProtection="1">
      <alignment horizontal="center" vertical="center"/>
    </xf>
    <xf numFmtId="177" fontId="54" fillId="0" borderId="0" xfId="0" applyNumberFormat="1" applyFont="1" applyAlignment="1" applyProtection="1">
      <alignment horizontal="center" vertical="center"/>
    </xf>
    <xf numFmtId="177" fontId="58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7" fillId="57" borderId="49" xfId="350" applyNumberFormat="1" applyFont="1" applyFill="1" applyBorder="1" applyAlignment="1">
      <alignment horizontal="left" vertical="center"/>
    </xf>
    <xf numFmtId="0" fontId="97" fillId="57" borderId="58" xfId="350" applyNumberFormat="1" applyFont="1" applyFill="1" applyBorder="1" applyAlignment="1">
      <alignment horizontal="left" vertical="center"/>
    </xf>
    <xf numFmtId="0" fontId="97" fillId="57" borderId="48" xfId="350" applyNumberFormat="1" applyFont="1" applyFill="1" applyBorder="1">
      <alignment vertical="center"/>
    </xf>
    <xf numFmtId="49" fontId="97" fillId="57" borderId="58" xfId="350" applyNumberFormat="1" applyFont="1" applyFill="1" applyBorder="1">
      <alignment vertical="center"/>
    </xf>
    <xf numFmtId="49" fontId="97" fillId="57" borderId="54" xfId="350" applyNumberFormat="1" applyFont="1" applyFill="1" applyBorder="1">
      <alignment vertical="center"/>
    </xf>
    <xf numFmtId="0" fontId="97" fillId="57" borderId="50" xfId="350" applyNumberFormat="1" applyFont="1" applyFill="1" applyBorder="1" applyAlignment="1">
      <alignment horizontal="left" vertical="center"/>
    </xf>
    <xf numFmtId="0" fontId="97" fillId="57" borderId="45" xfId="350" applyNumberFormat="1" applyFont="1" applyFill="1" applyBorder="1" applyAlignment="1">
      <alignment horizontal="left" vertical="center"/>
    </xf>
    <xf numFmtId="0" fontId="97" fillId="57" borderId="78" xfId="350" applyNumberFormat="1" applyFont="1" applyFill="1" applyBorder="1">
      <alignment vertical="center"/>
    </xf>
    <xf numFmtId="49" fontId="97" fillId="57" borderId="45" xfId="350" applyNumberFormat="1" applyFont="1" applyFill="1" applyBorder="1">
      <alignment vertical="center"/>
    </xf>
    <xf numFmtId="49" fontId="97" fillId="57" borderId="55" xfId="350" applyNumberFormat="1" applyFont="1" applyFill="1" applyBorder="1">
      <alignment vertical="center"/>
    </xf>
    <xf numFmtId="0" fontId="97" fillId="57" borderId="52" xfId="350" applyNumberFormat="1" applyFont="1" applyFill="1" applyBorder="1" applyAlignment="1">
      <alignment horizontal="left" vertical="center"/>
    </xf>
    <xf numFmtId="0" fontId="97" fillId="57" borderId="59" xfId="350" applyNumberFormat="1" applyFont="1" applyFill="1" applyBorder="1" applyAlignment="1">
      <alignment horizontal="left" vertical="center"/>
    </xf>
    <xf numFmtId="0" fontId="97" fillId="57" borderId="79" xfId="350" applyNumberFormat="1" applyFont="1" applyFill="1" applyBorder="1">
      <alignment vertical="center"/>
    </xf>
    <xf numFmtId="49" fontId="97" fillId="57" borderId="59" xfId="350" applyNumberFormat="1" applyFont="1" applyFill="1" applyBorder="1">
      <alignment vertical="center"/>
    </xf>
    <xf numFmtId="49" fontId="97" fillId="57" borderId="57" xfId="350" applyNumberFormat="1" applyFont="1" applyFill="1" applyBorder="1">
      <alignment vertical="center"/>
    </xf>
    <xf numFmtId="0" fontId="97" fillId="57" borderId="51" xfId="350" applyNumberFormat="1" applyFont="1" applyFill="1" applyBorder="1" applyAlignment="1">
      <alignment horizontal="left" vertical="center"/>
    </xf>
    <xf numFmtId="0" fontId="97" fillId="57" borderId="1" xfId="350" applyNumberFormat="1" applyFont="1" applyFill="1" applyBorder="1" applyAlignment="1">
      <alignment horizontal="left" vertical="center"/>
    </xf>
    <xf numFmtId="0" fontId="97" fillId="57" borderId="77" xfId="350" applyNumberFormat="1" applyFont="1" applyFill="1" applyBorder="1">
      <alignment vertical="center"/>
    </xf>
    <xf numFmtId="49" fontId="97" fillId="57" borderId="1" xfId="350" applyNumberFormat="1" applyFont="1" applyFill="1" applyBorder="1">
      <alignment vertical="center"/>
    </xf>
    <xf numFmtId="49" fontId="97" fillId="57" borderId="56" xfId="350" applyNumberFormat="1" applyFont="1" applyFill="1" applyBorder="1">
      <alignment vertical="center"/>
    </xf>
    <xf numFmtId="49" fontId="97" fillId="57" borderId="40" xfId="350" applyNumberFormat="1" applyFont="1" applyFill="1" applyBorder="1">
      <alignment vertical="center"/>
    </xf>
    <xf numFmtId="49" fontId="97" fillId="57" borderId="71" xfId="350" applyNumberFormat="1" applyFont="1" applyFill="1" applyBorder="1">
      <alignment vertical="center"/>
    </xf>
    <xf numFmtId="0" fontId="97" fillId="57" borderId="55" xfId="206" applyNumberFormat="1" applyFont="1" applyFill="1" applyBorder="1" applyAlignment="1">
      <alignment horizontal="left" vertical="center"/>
    </xf>
    <xf numFmtId="0" fontId="97" fillId="57" borderId="54" xfId="206" applyNumberFormat="1" applyFont="1" applyFill="1" applyBorder="1" applyAlignment="1">
      <alignment horizontal="left" vertical="center"/>
    </xf>
    <xf numFmtId="0" fontId="97" fillId="57" borderId="56" xfId="206" applyNumberFormat="1" applyFont="1" applyFill="1" applyBorder="1" applyAlignment="1">
      <alignment horizontal="left" vertical="center"/>
    </xf>
    <xf numFmtId="0" fontId="97" fillId="57" borderId="68" xfId="350" applyNumberFormat="1" applyFont="1" applyFill="1" applyBorder="1" applyAlignment="1">
      <alignment horizontal="left" vertical="center"/>
    </xf>
    <xf numFmtId="0" fontId="97" fillId="57" borderId="39" xfId="350" applyNumberFormat="1" applyFont="1" applyFill="1" applyBorder="1" applyAlignment="1">
      <alignment horizontal="left" vertical="center"/>
    </xf>
    <xf numFmtId="0" fontId="97" fillId="57" borderId="76" xfId="350" applyNumberFormat="1" applyFont="1" applyFill="1" applyBorder="1">
      <alignment vertical="center"/>
    </xf>
    <xf numFmtId="0" fontId="97" fillId="57" borderId="70" xfId="350" applyNumberFormat="1" applyFont="1" applyFill="1" applyBorder="1" applyAlignment="1">
      <alignment horizontal="left" vertical="center"/>
    </xf>
    <xf numFmtId="0" fontId="97" fillId="57" borderId="40" xfId="206" applyNumberFormat="1" applyFont="1" applyFill="1" applyBorder="1" applyAlignment="1">
      <alignment vertical="center"/>
    </xf>
    <xf numFmtId="0" fontId="97" fillId="57" borderId="75" xfId="350" applyNumberFormat="1" applyFont="1" applyFill="1" applyBorder="1">
      <alignment vertical="center"/>
    </xf>
    <xf numFmtId="0" fontId="97" fillId="57" borderId="40" xfId="350" applyNumberFormat="1" applyFont="1" applyFill="1" applyBorder="1" applyAlignment="1">
      <alignment horizontal="left" vertical="center"/>
    </xf>
    <xf numFmtId="49" fontId="97" fillId="57" borderId="47" xfId="350" applyNumberFormat="1" applyFont="1" applyFill="1" applyBorder="1">
      <alignment vertical="center"/>
    </xf>
    <xf numFmtId="49" fontId="97" fillId="57" borderId="66" xfId="350" applyNumberFormat="1" applyFont="1" applyFill="1" applyBorder="1">
      <alignment vertical="center"/>
    </xf>
    <xf numFmtId="0" fontId="97" fillId="57" borderId="49" xfId="206" applyNumberFormat="1" applyFont="1" applyFill="1" applyBorder="1" applyAlignment="1">
      <alignment horizontal="left" vertical="center"/>
    </xf>
    <xf numFmtId="0" fontId="97" fillId="57" borderId="58" xfId="206" applyNumberFormat="1" applyFont="1" applyFill="1" applyBorder="1" applyAlignment="1">
      <alignment horizontal="left" vertical="center"/>
    </xf>
    <xf numFmtId="0" fontId="97" fillId="57" borderId="51" xfId="206" applyNumberFormat="1" applyFont="1" applyFill="1" applyBorder="1" applyAlignment="1">
      <alignment horizontal="left" vertical="center"/>
    </xf>
    <xf numFmtId="0" fontId="97" fillId="57" borderId="1" xfId="206" applyNumberFormat="1" applyFont="1" applyFill="1" applyBorder="1" applyAlignment="1">
      <alignment horizontal="left" vertical="center"/>
    </xf>
    <xf numFmtId="0" fontId="97" fillId="57" borderId="50" xfId="206" applyNumberFormat="1" applyFont="1" applyFill="1" applyBorder="1" applyAlignment="1">
      <alignment horizontal="left" vertical="center"/>
    </xf>
    <xf numFmtId="0" fontId="97" fillId="66" borderId="45" xfId="206" applyNumberFormat="1" applyFont="1" applyFill="1" applyBorder="1" applyAlignment="1">
      <alignment horizontal="left" vertical="center"/>
    </xf>
    <xf numFmtId="0" fontId="97" fillId="57" borderId="45" xfId="206" applyNumberFormat="1" applyFont="1" applyFill="1" applyBorder="1" applyAlignment="1">
      <alignment horizontal="left" vertical="center"/>
    </xf>
    <xf numFmtId="0" fontId="97" fillId="57" borderId="78" xfId="206" applyNumberFormat="1" applyFont="1" applyFill="1" applyBorder="1" applyAlignment="1">
      <alignment horizontal="left" vertical="center"/>
    </xf>
    <xf numFmtId="0" fontId="76" fillId="0" borderId="84" xfId="363" applyFont="1" applyFill="1" applyBorder="1" applyAlignment="1">
      <alignment horizontal="center" vertical="center"/>
    </xf>
    <xf numFmtId="49" fontId="76" fillId="0" borderId="83" xfId="363" applyNumberFormat="1" applyFont="1" applyFill="1" applyBorder="1" applyAlignment="1">
      <alignment horizontal="justify" vertical="center" wrapText="1"/>
    </xf>
    <xf numFmtId="49" fontId="76" fillId="0" borderId="82" xfId="363" applyNumberFormat="1" applyFont="1" applyFill="1" applyBorder="1" applyAlignment="1">
      <alignment horizontal="justify" vertical="center" wrapText="1"/>
    </xf>
    <xf numFmtId="49" fontId="97" fillId="57" borderId="39" xfId="350" applyNumberFormat="1" applyFont="1" applyFill="1" applyBorder="1">
      <alignment vertical="center"/>
    </xf>
    <xf numFmtId="49" fontId="97" fillId="57" borderId="69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5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91" xfId="0" applyFont="1" applyFill="1" applyBorder="1" applyAlignment="1">
      <alignment vertical="center"/>
    </xf>
    <xf numFmtId="0" fontId="0" fillId="0" borderId="60" xfId="0" applyBorder="1">
      <alignment vertical="center"/>
    </xf>
    <xf numFmtId="0" fontId="0" fillId="0" borderId="92" xfId="0" applyBorder="1">
      <alignment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0" fillId="0" borderId="24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93" xfId="0" applyBorder="1">
      <alignment vertical="center"/>
    </xf>
    <xf numFmtId="0" fontId="0" fillId="0" borderId="65" xfId="0" applyBorder="1">
      <alignment vertical="center"/>
    </xf>
    <xf numFmtId="0" fontId="18" fillId="0" borderId="0" xfId="2"/>
    <xf numFmtId="0" fontId="139" fillId="0" borderId="103" xfId="2" quotePrefix="1" applyFont="1" applyFill="1" applyBorder="1" applyAlignment="1">
      <alignment vertical="center" shrinkToFit="1"/>
    </xf>
    <xf numFmtId="184" fontId="142" fillId="0" borderId="83" xfId="4" applyNumberFormat="1" applyFont="1" applyFill="1" applyBorder="1" applyAlignment="1">
      <alignment horizontal="right" vertical="center" shrinkToFit="1"/>
    </xf>
    <xf numFmtId="184" fontId="142" fillId="0" borderId="0" xfId="4" applyNumberFormat="1" applyFont="1" applyFill="1" applyBorder="1" applyAlignment="1">
      <alignment horizontal="right" vertical="center" shrinkToFit="1"/>
    </xf>
    <xf numFmtId="177" fontId="143" fillId="0" borderId="24" xfId="0" applyNumberFormat="1" applyFont="1" applyBorder="1">
      <alignment vertical="center"/>
    </xf>
    <xf numFmtId="177" fontId="15" fillId="6" borderId="24" xfId="0" applyNumberFormat="1" applyFont="1" applyFill="1" applyBorder="1" applyAlignment="1">
      <alignment horizontal="centerContinuous" vertical="center"/>
    </xf>
    <xf numFmtId="177" fontId="3" fillId="6" borderId="24" xfId="0" applyNumberFormat="1" applyFont="1" applyFill="1" applyBorder="1" applyAlignment="1">
      <alignment horizontal="centerContinuous" vertical="center"/>
    </xf>
    <xf numFmtId="177" fontId="145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/>
    </xf>
    <xf numFmtId="177" fontId="3" fillId="57" borderId="115" xfId="0" applyNumberFormat="1" applyFont="1" applyFill="1" applyBorder="1" applyAlignment="1">
      <alignment horizontal="center" vertical="center"/>
    </xf>
    <xf numFmtId="177" fontId="3" fillId="57" borderId="24" xfId="0" applyNumberFormat="1" applyFont="1" applyFill="1" applyBorder="1">
      <alignment vertical="center"/>
    </xf>
    <xf numFmtId="177" fontId="3" fillId="57" borderId="24" xfId="0" applyNumberFormat="1" applyFont="1" applyFill="1" applyBorder="1" applyAlignment="1">
      <alignment horizontal="center" vertical="center"/>
    </xf>
    <xf numFmtId="177" fontId="2" fillId="60" borderId="115" xfId="0" applyNumberFormat="1" applyFont="1" applyFill="1" applyBorder="1" applyAlignment="1">
      <alignment horizontal="center" vertical="center"/>
    </xf>
    <xf numFmtId="177" fontId="2" fillId="59" borderId="24" xfId="0" applyNumberFormat="1" applyFont="1" applyFill="1" applyBorder="1">
      <alignment vertical="center"/>
    </xf>
    <xf numFmtId="177" fontId="2" fillId="0" borderId="24" xfId="0" applyNumberFormat="1" applyFont="1" applyBorder="1" applyAlignment="1">
      <alignment horizontal="center" vertical="center"/>
    </xf>
    <xf numFmtId="177" fontId="2" fillId="58" borderId="24" xfId="0" applyNumberFormat="1" applyFont="1" applyFill="1" applyBorder="1">
      <alignment vertical="center"/>
    </xf>
    <xf numFmtId="177" fontId="2" fillId="58" borderId="81" xfId="0" applyNumberFormat="1" applyFont="1" applyFill="1" applyBorder="1">
      <alignment vertical="center"/>
    </xf>
    <xf numFmtId="177" fontId="3" fillId="7" borderId="115" xfId="0" applyNumberFormat="1" applyFont="1" applyFill="1" applyBorder="1" applyAlignment="1">
      <alignment horizontal="center" vertical="center"/>
    </xf>
    <xf numFmtId="177" fontId="3" fillId="7" borderId="24" xfId="0" applyNumberFormat="1" applyFont="1" applyFill="1" applyBorder="1">
      <alignment vertical="center"/>
    </xf>
    <xf numFmtId="177" fontId="3" fillId="7" borderId="24" xfId="0" applyNumberFormat="1" applyFont="1" applyFill="1" applyBorder="1" applyAlignment="1">
      <alignment horizontal="center" vertical="center"/>
    </xf>
    <xf numFmtId="177" fontId="76" fillId="0" borderId="24" xfId="0" applyNumberFormat="1" applyFont="1" applyFill="1" applyBorder="1" applyAlignment="1">
      <alignment horizontal="center" vertical="center"/>
    </xf>
    <xf numFmtId="177" fontId="2" fillId="7" borderId="24" xfId="0" applyNumberFormat="1" applyFont="1" applyFill="1" applyBorder="1" applyAlignment="1">
      <alignment horizontal="center" vertical="center"/>
    </xf>
    <xf numFmtId="0" fontId="147" fillId="0" borderId="0" xfId="2" applyFont="1" applyFill="1" applyAlignment="1">
      <alignment vertical="center"/>
    </xf>
    <xf numFmtId="0" fontId="142" fillId="0" borderId="96" xfId="2" applyFont="1" applyFill="1" applyBorder="1" applyAlignment="1">
      <alignment vertical="center" shrinkToFit="1"/>
    </xf>
    <xf numFmtId="184" fontId="142" fillId="0" borderId="107" xfId="364" applyNumberFormat="1" applyFont="1" applyFill="1" applyBorder="1" applyAlignment="1">
      <alignment horizontal="right" vertical="center" shrinkToFit="1"/>
    </xf>
    <xf numFmtId="184" fontId="142" fillId="0" borderId="106" xfId="364" applyNumberFormat="1" applyFont="1" applyFill="1" applyBorder="1" applyAlignment="1">
      <alignment horizontal="right" vertical="center" shrinkToFit="1"/>
    </xf>
    <xf numFmtId="184" fontId="142" fillId="0" borderId="108" xfId="364" applyNumberFormat="1" applyFont="1" applyFill="1" applyBorder="1" applyAlignment="1">
      <alignment horizontal="right" vertical="center" shrinkToFit="1"/>
    </xf>
    <xf numFmtId="184" fontId="142" fillId="0" borderId="116" xfId="364" applyNumberFormat="1" applyFont="1" applyFill="1" applyBorder="1" applyAlignment="1">
      <alignment horizontal="right" vertical="center" shrinkToFit="1"/>
    </xf>
    <xf numFmtId="0" fontId="142" fillId="0" borderId="109" xfId="2" applyFont="1" applyFill="1" applyBorder="1" applyAlignment="1">
      <alignment horizontal="center" vertical="center" shrinkToFit="1"/>
    </xf>
    <xf numFmtId="0" fontId="142" fillId="0" borderId="99" xfId="2" applyFont="1" applyFill="1" applyBorder="1" applyAlignment="1">
      <alignment horizontal="left" vertical="center" shrinkToFit="1"/>
    </xf>
    <xf numFmtId="0" fontId="142" fillId="0" borderId="100" xfId="2" applyFont="1" applyFill="1" applyBorder="1" applyAlignment="1">
      <alignment vertical="center" shrinkToFit="1"/>
    </xf>
    <xf numFmtId="184" fontId="142" fillId="0" borderId="117" xfId="364" applyNumberFormat="1" applyFont="1" applyFill="1" applyBorder="1" applyAlignment="1">
      <alignment horizontal="right" vertical="center" shrinkToFit="1"/>
    </xf>
    <xf numFmtId="184" fontId="142" fillId="0" borderId="118" xfId="364" applyNumberFormat="1" applyFont="1" applyFill="1" applyBorder="1" applyAlignment="1">
      <alignment horizontal="right" vertical="center" shrinkToFit="1"/>
    </xf>
    <xf numFmtId="184" fontId="142" fillId="0" borderId="119" xfId="364" applyNumberFormat="1" applyFont="1" applyFill="1" applyBorder="1" applyAlignment="1">
      <alignment horizontal="right" vertical="center" shrinkToFit="1"/>
    </xf>
    <xf numFmtId="184" fontId="142" fillId="0" borderId="41" xfId="364" applyNumberFormat="1" applyFont="1" applyFill="1" applyBorder="1" applyAlignment="1">
      <alignment horizontal="right" vertical="center" shrinkToFit="1"/>
    </xf>
    <xf numFmtId="0" fontId="142" fillId="0" borderId="11" xfId="2" applyFont="1" applyFill="1" applyBorder="1" applyAlignment="1">
      <alignment horizontal="center" vertical="center" shrinkToFit="1"/>
    </xf>
    <xf numFmtId="0" fontId="142" fillId="0" borderId="101" xfId="2" applyFont="1" applyFill="1" applyBorder="1" applyAlignment="1">
      <alignment horizontal="center" vertical="center" shrinkToFit="1"/>
    </xf>
    <xf numFmtId="184" fontId="142" fillId="0" borderId="120" xfId="364" applyNumberFormat="1" applyFont="1" applyFill="1" applyBorder="1" applyAlignment="1">
      <alignment horizontal="right" vertical="center" shrinkToFit="1"/>
    </xf>
    <xf numFmtId="184" fontId="142" fillId="0" borderId="83" xfId="364" applyNumberFormat="1" applyFont="1" applyFill="1" applyBorder="1" applyAlignment="1">
      <alignment horizontal="right" vertical="center" shrinkToFit="1"/>
    </xf>
    <xf numFmtId="184" fontId="142" fillId="0" borderId="121" xfId="364" applyNumberFormat="1" applyFont="1" applyFill="1" applyBorder="1" applyAlignment="1">
      <alignment horizontal="right" vertical="center" shrinkToFit="1"/>
    </xf>
    <xf numFmtId="184" fontId="142" fillId="0" borderId="0" xfId="364" applyNumberFormat="1" applyFont="1" applyFill="1" applyBorder="1" applyAlignment="1">
      <alignment horizontal="right" vertical="center" shrinkToFit="1"/>
    </xf>
    <xf numFmtId="0" fontId="142" fillId="0" borderId="34" xfId="2" applyFont="1" applyFill="1" applyBorder="1" applyAlignment="1">
      <alignment horizontal="center" vertical="center" shrinkToFit="1"/>
    </xf>
    <xf numFmtId="0" fontId="142" fillId="0" borderId="101" xfId="2" applyFont="1" applyFill="1" applyBorder="1" applyAlignment="1">
      <alignment horizontal="left" vertical="center" shrinkToFit="1"/>
    </xf>
    <xf numFmtId="184" fontId="148" fillId="0" borderId="122" xfId="364" applyNumberFormat="1" applyFont="1" applyFill="1" applyBorder="1" applyAlignment="1">
      <alignment horizontal="right" vertical="center" shrinkToFit="1"/>
    </xf>
    <xf numFmtId="184" fontId="148" fillId="0" borderId="94" xfId="364" applyNumberFormat="1" applyFont="1" applyFill="1" applyBorder="1" applyAlignment="1">
      <alignment horizontal="right" vertical="center" shrinkToFit="1"/>
    </xf>
    <xf numFmtId="184" fontId="148" fillId="0" borderId="123" xfId="364" applyNumberFormat="1" applyFont="1" applyFill="1" applyBorder="1" applyAlignment="1">
      <alignment horizontal="right" vertical="center" shrinkToFit="1"/>
    </xf>
    <xf numFmtId="184" fontId="148" fillId="0" borderId="124" xfId="364" applyNumberFormat="1" applyFont="1" applyFill="1" applyBorder="1" applyAlignment="1">
      <alignment horizontal="right" vertical="center" shrinkToFit="1"/>
    </xf>
    <xf numFmtId="184" fontId="148" fillId="0" borderId="95" xfId="364" applyNumberFormat="1" applyFont="1" applyFill="1" applyBorder="1" applyAlignment="1">
      <alignment horizontal="right" vertical="center" shrinkToFit="1"/>
    </xf>
    <xf numFmtId="0" fontId="148" fillId="0" borderId="30" xfId="2" applyFont="1" applyFill="1" applyBorder="1" applyAlignment="1">
      <alignment horizontal="center" vertical="center" shrinkToFit="1"/>
    </xf>
    <xf numFmtId="0" fontId="148" fillId="0" borderId="100" xfId="2" applyFont="1" applyFill="1" applyBorder="1" applyAlignment="1">
      <alignment vertical="center" shrinkToFit="1"/>
    </xf>
    <xf numFmtId="184" fontId="142" fillId="0" borderId="125" xfId="364" applyNumberFormat="1" applyFont="1" applyFill="1" applyBorder="1" applyAlignment="1">
      <alignment horizontal="right" vertical="center" shrinkToFit="1"/>
    </xf>
    <xf numFmtId="184" fontId="142" fillId="0" borderId="126" xfId="364" applyNumberFormat="1" applyFont="1" applyFill="1" applyBorder="1" applyAlignment="1">
      <alignment horizontal="right" vertical="center" shrinkToFit="1"/>
    </xf>
    <xf numFmtId="184" fontId="142" fillId="0" borderId="40" xfId="364" applyNumberFormat="1" applyFont="1" applyFill="1" applyBorder="1" applyAlignment="1">
      <alignment horizontal="right" vertical="center" shrinkToFit="1"/>
    </xf>
    <xf numFmtId="184" fontId="142" fillId="0" borderId="127" xfId="364" applyNumberFormat="1" applyFont="1" applyFill="1" applyBorder="1" applyAlignment="1">
      <alignment horizontal="right" vertical="center" shrinkToFit="1"/>
    </xf>
    <xf numFmtId="184" fontId="142" fillId="0" borderId="75" xfId="364" applyNumberFormat="1" applyFont="1" applyFill="1" applyBorder="1" applyAlignment="1">
      <alignment horizontal="right" vertical="center" shrinkToFit="1"/>
    </xf>
    <xf numFmtId="184" fontId="142" fillId="0" borderId="102" xfId="364" applyNumberFormat="1" applyFont="1" applyFill="1" applyBorder="1" applyAlignment="1">
      <alignment horizontal="right" vertical="center" shrinkToFit="1"/>
    </xf>
    <xf numFmtId="0" fontId="142" fillId="0" borderId="128" xfId="2" applyFont="1" applyFill="1" applyBorder="1" applyAlignment="1">
      <alignment horizontal="center" vertical="center" shrinkToFit="1"/>
    </xf>
    <xf numFmtId="0" fontId="148" fillId="0" borderId="103" xfId="2" quotePrefix="1" applyFont="1" applyFill="1" applyBorder="1" applyAlignment="1">
      <alignment vertical="center" shrinkToFit="1"/>
    </xf>
    <xf numFmtId="184" fontId="148" fillId="0" borderId="129" xfId="364" applyNumberFormat="1" applyFont="1" applyFill="1" applyBorder="1" applyAlignment="1">
      <alignment horizontal="right" vertical="center" shrinkToFit="1"/>
    </xf>
    <xf numFmtId="184" fontId="148" fillId="0" borderId="47" xfId="364" applyNumberFormat="1" applyFont="1" applyFill="1" applyBorder="1" applyAlignment="1">
      <alignment horizontal="right" vertical="center" shrinkToFit="1"/>
    </xf>
    <xf numFmtId="184" fontId="148" fillId="0" borderId="130" xfId="364" applyNumberFormat="1" applyFont="1" applyFill="1" applyBorder="1" applyAlignment="1">
      <alignment horizontal="right" vertical="center" shrinkToFit="1"/>
    </xf>
    <xf numFmtId="184" fontId="148" fillId="0" borderId="46" xfId="364" applyNumberFormat="1" applyFont="1" applyFill="1" applyBorder="1" applyAlignment="1">
      <alignment horizontal="right" vertical="center" shrinkToFit="1"/>
    </xf>
    <xf numFmtId="184" fontId="148" fillId="0" borderId="104" xfId="364" applyNumberFormat="1" applyFont="1" applyFill="1" applyBorder="1" applyAlignment="1">
      <alignment horizontal="right" vertical="center" shrinkToFit="1"/>
    </xf>
    <xf numFmtId="0" fontId="148" fillId="0" borderId="90" xfId="2" applyFont="1" applyFill="1" applyBorder="1" applyAlignment="1">
      <alignment horizontal="center" vertical="center" shrinkToFit="1"/>
    </xf>
    <xf numFmtId="0" fontId="148" fillId="0" borderId="53" xfId="2" applyFont="1" applyFill="1" applyBorder="1" applyAlignment="1">
      <alignment horizontal="left" vertical="center" shrinkToFit="1"/>
    </xf>
    <xf numFmtId="184" fontId="142" fillId="0" borderId="105" xfId="364" applyNumberFormat="1" applyFont="1" applyFill="1" applyBorder="1" applyAlignment="1">
      <alignment horizontal="right" vertical="center" shrinkToFit="1"/>
    </xf>
    <xf numFmtId="184" fontId="142" fillId="0" borderId="131" xfId="364" applyNumberFormat="1" applyFont="1" applyFill="1" applyBorder="1" applyAlignment="1">
      <alignment horizontal="right" vertical="center" shrinkToFit="1"/>
    </xf>
    <xf numFmtId="0" fontId="148" fillId="0" borderId="103" xfId="2" applyFont="1" applyFill="1" applyBorder="1" applyAlignment="1">
      <alignment vertical="center" shrinkToFit="1"/>
    </xf>
    <xf numFmtId="0" fontId="18" fillId="0" borderId="0" xfId="2" applyAlignment="1">
      <alignment vertical="center"/>
    </xf>
    <xf numFmtId="0" fontId="138" fillId="0" borderId="96" xfId="2" applyFont="1" applyBorder="1" applyAlignment="1">
      <alignment horizontal="left" vertical="center" wrapText="1" shrinkToFit="1"/>
    </xf>
    <xf numFmtId="184" fontId="138" fillId="0" borderId="97" xfId="364" applyNumberFormat="1" applyFont="1" applyFill="1" applyBorder="1" applyAlignment="1">
      <alignment horizontal="right" vertical="center" shrinkToFit="1"/>
    </xf>
    <xf numFmtId="184" fontId="138" fillId="0" borderId="132" xfId="364" applyNumberFormat="1" applyFont="1" applyFill="1" applyBorder="1" applyAlignment="1">
      <alignment horizontal="right" vertical="center" shrinkToFit="1"/>
    </xf>
    <xf numFmtId="184" fontId="138" fillId="0" borderId="133" xfId="364" applyNumberFormat="1" applyFont="1" applyFill="1" applyBorder="1" applyAlignment="1">
      <alignment horizontal="right" vertical="center" shrinkToFit="1"/>
    </xf>
    <xf numFmtId="184" fontId="138" fillId="0" borderId="98" xfId="364" applyNumberFormat="1" applyFont="1" applyFill="1" applyBorder="1" applyAlignment="1">
      <alignment horizontal="right" vertical="center" shrinkToFit="1"/>
    </xf>
    <xf numFmtId="184" fontId="138" fillId="0" borderId="93" xfId="364" applyNumberFormat="1" applyFont="1" applyFill="1" applyBorder="1" applyAlignment="1">
      <alignment horizontal="right" vertical="center" shrinkToFit="1"/>
    </xf>
    <xf numFmtId="0" fontId="138" fillId="0" borderId="93" xfId="2" applyFont="1" applyFill="1" applyBorder="1" applyAlignment="1">
      <alignment horizontal="center" vertical="center" shrinkToFit="1"/>
    </xf>
    <xf numFmtId="0" fontId="148" fillId="0" borderId="110" xfId="2" applyFont="1" applyBorder="1" applyAlignment="1">
      <alignment horizontal="left" vertical="center" shrinkToFit="1"/>
    </xf>
    <xf numFmtId="0" fontId="138" fillId="0" borderId="100" xfId="2" applyFont="1" applyBorder="1" applyAlignment="1">
      <alignment vertical="center" wrapText="1"/>
    </xf>
    <xf numFmtId="184" fontId="138" fillId="0" borderId="117" xfId="364" applyNumberFormat="1" applyFont="1" applyFill="1" applyBorder="1" applyAlignment="1">
      <alignment horizontal="right" vertical="center" shrinkToFit="1"/>
    </xf>
    <xf numFmtId="184" fontId="138" fillId="0" borderId="83" xfId="364" applyNumberFormat="1" applyFont="1" applyFill="1" applyBorder="1" applyAlignment="1">
      <alignment horizontal="right" vertical="center" shrinkToFit="1"/>
    </xf>
    <xf numFmtId="184" fontId="138" fillId="0" borderId="134" xfId="364" applyNumberFormat="1" applyFont="1" applyFill="1" applyBorder="1" applyAlignment="1">
      <alignment horizontal="right" vertical="center" shrinkToFit="1"/>
    </xf>
    <xf numFmtId="185" fontId="138" fillId="0" borderId="120" xfId="376" applyNumberFormat="1" applyFont="1" applyFill="1" applyBorder="1" applyAlignment="1">
      <alignment horizontal="right" vertical="center" shrinkToFit="1"/>
    </xf>
    <xf numFmtId="185" fontId="138" fillId="0" borderId="83" xfId="376" applyNumberFormat="1" applyFont="1" applyFill="1" applyBorder="1" applyAlignment="1">
      <alignment horizontal="right" vertical="center" shrinkToFit="1"/>
    </xf>
    <xf numFmtId="185" fontId="138" fillId="0" borderId="121" xfId="376" applyNumberFormat="1" applyFont="1" applyFill="1" applyBorder="1" applyAlignment="1">
      <alignment horizontal="right" vertical="center" shrinkToFit="1"/>
    </xf>
    <xf numFmtId="41" fontId="138" fillId="0" borderId="125" xfId="376" applyFont="1" applyFill="1" applyBorder="1" applyAlignment="1">
      <alignment horizontal="right" vertical="center" shrinkToFit="1"/>
    </xf>
    <xf numFmtId="41" fontId="138" fillId="0" borderId="83" xfId="376" applyFont="1" applyFill="1" applyBorder="1" applyAlignment="1">
      <alignment horizontal="right" vertical="center" shrinkToFit="1"/>
    </xf>
    <xf numFmtId="41" fontId="138" fillId="0" borderId="121" xfId="376" applyFont="1" applyFill="1" applyBorder="1" applyAlignment="1">
      <alignment horizontal="right" vertical="center" shrinkToFit="1"/>
    </xf>
    <xf numFmtId="184" fontId="138" fillId="0" borderId="34" xfId="364" applyNumberFormat="1" applyFont="1" applyFill="1" applyBorder="1" applyAlignment="1">
      <alignment horizontal="right" vertical="center" shrinkToFit="1"/>
    </xf>
    <xf numFmtId="0" fontId="142" fillId="0" borderId="34" xfId="369" applyFont="1" applyBorder="1" applyAlignment="1">
      <alignment horizontal="center" vertical="center" shrinkToFit="1"/>
    </xf>
    <xf numFmtId="0" fontId="142" fillId="0" borderId="101" xfId="2" applyFont="1" applyBorder="1" applyAlignment="1">
      <alignment horizontal="center" vertical="center" shrinkToFit="1"/>
    </xf>
    <xf numFmtId="184" fontId="138" fillId="0" borderId="120" xfId="364" applyNumberFormat="1" applyFont="1" applyFill="1" applyBorder="1" applyAlignment="1">
      <alignment horizontal="right" vertical="center" shrinkToFit="1"/>
    </xf>
    <xf numFmtId="185" fontId="138" fillId="0" borderId="125" xfId="376" applyNumberFormat="1" applyFont="1" applyFill="1" applyBorder="1" applyAlignment="1">
      <alignment horizontal="right" vertical="center" shrinkToFit="1"/>
    </xf>
    <xf numFmtId="0" fontId="142" fillId="0" borderId="101" xfId="2" applyFont="1" applyBorder="1" applyAlignment="1">
      <alignment horizontal="left" vertical="center" shrinkToFit="1"/>
    </xf>
    <xf numFmtId="0" fontId="139" fillId="0" borderId="100" xfId="2" applyFont="1" applyBorder="1" applyAlignment="1">
      <alignment horizontal="left" vertical="center" wrapText="1" shrinkToFit="1"/>
    </xf>
    <xf numFmtId="185" fontId="138" fillId="0" borderId="126" xfId="376" applyNumberFormat="1" applyFont="1" applyFill="1" applyBorder="1" applyAlignment="1">
      <alignment horizontal="right" vertical="center" shrinkToFit="1"/>
    </xf>
    <xf numFmtId="185" fontId="138" fillId="0" borderId="40" xfId="376" applyNumberFormat="1" applyFont="1" applyFill="1" applyBorder="1" applyAlignment="1">
      <alignment horizontal="right" vertical="center" shrinkToFit="1"/>
    </xf>
    <xf numFmtId="185" fontId="138" fillId="0" borderId="127" xfId="376" applyNumberFormat="1" applyFont="1" applyFill="1" applyBorder="1" applyAlignment="1">
      <alignment horizontal="right" vertical="center" shrinkToFit="1"/>
    </xf>
    <xf numFmtId="41" fontId="138" fillId="0" borderId="75" xfId="376" applyFont="1" applyFill="1" applyBorder="1" applyAlignment="1">
      <alignment horizontal="right" vertical="center" shrinkToFit="1"/>
    </xf>
    <xf numFmtId="41" fontId="138" fillId="0" borderId="40" xfId="376" applyFont="1" applyFill="1" applyBorder="1" applyAlignment="1">
      <alignment horizontal="right" vertical="center" shrinkToFit="1"/>
    </xf>
    <xf numFmtId="41" fontId="138" fillId="0" borderId="127" xfId="376" applyFont="1" applyFill="1" applyBorder="1" applyAlignment="1">
      <alignment horizontal="right" vertical="center" shrinkToFit="1"/>
    </xf>
    <xf numFmtId="184" fontId="138" fillId="0" borderId="128" xfId="364" applyNumberFormat="1" applyFont="1" applyFill="1" applyBorder="1" applyAlignment="1">
      <alignment horizontal="right" vertical="center" shrinkToFit="1"/>
    </xf>
    <xf numFmtId="0" fontId="142" fillId="0" borderId="100" xfId="2" applyFont="1" applyBorder="1" applyAlignment="1">
      <alignment horizontal="left" vertical="center" wrapText="1" shrinkToFit="1"/>
    </xf>
    <xf numFmtId="184" fontId="139" fillId="0" borderId="122" xfId="364" applyNumberFormat="1" applyFont="1" applyFill="1" applyBorder="1" applyAlignment="1">
      <alignment horizontal="right" vertical="center" shrinkToFit="1"/>
    </xf>
    <xf numFmtId="184" fontId="139" fillId="0" borderId="94" xfId="364" applyNumberFormat="1" applyFont="1" applyFill="1" applyBorder="1" applyAlignment="1">
      <alignment horizontal="right" vertical="center" shrinkToFit="1"/>
    </xf>
    <xf numFmtId="184" fontId="139" fillId="0" borderId="135" xfId="364" applyNumberFormat="1" applyFont="1" applyFill="1" applyBorder="1" applyAlignment="1">
      <alignment horizontal="right" vertical="center" shrinkToFit="1"/>
    </xf>
    <xf numFmtId="185" fontId="139" fillId="0" borderId="136" xfId="376" applyNumberFormat="1" applyFont="1" applyFill="1" applyBorder="1" applyAlignment="1">
      <alignment horizontal="right" vertical="center" shrinkToFit="1"/>
    </xf>
    <xf numFmtId="185" fontId="139" fillId="0" borderId="137" xfId="376" applyNumberFormat="1" applyFont="1" applyFill="1" applyBorder="1" applyAlignment="1">
      <alignment horizontal="right" vertical="center" shrinkToFit="1"/>
    </xf>
    <xf numFmtId="185" fontId="139" fillId="0" borderId="138" xfId="376" applyNumberFormat="1" applyFont="1" applyFill="1" applyBorder="1" applyAlignment="1">
      <alignment horizontal="right" vertical="center" shrinkToFit="1"/>
    </xf>
    <xf numFmtId="41" fontId="139" fillId="0" borderId="139" xfId="376" applyFont="1" applyFill="1" applyBorder="1" applyAlignment="1">
      <alignment horizontal="right" vertical="center" shrinkToFit="1"/>
    </xf>
    <xf numFmtId="41" fontId="139" fillId="0" borderId="138" xfId="376" applyFont="1" applyFill="1" applyBorder="1" applyAlignment="1">
      <alignment horizontal="right" vertical="center" shrinkToFit="1"/>
    </xf>
    <xf numFmtId="184" fontId="139" fillId="0" borderId="32" xfId="364" applyNumberFormat="1" applyFont="1" applyFill="1" applyBorder="1" applyAlignment="1">
      <alignment horizontal="right" vertical="center" shrinkToFit="1"/>
    </xf>
    <xf numFmtId="0" fontId="139" fillId="0" borderId="30" xfId="2" applyFont="1" applyFill="1" applyBorder="1" applyAlignment="1">
      <alignment horizontal="center" vertical="center" shrinkToFit="1"/>
    </xf>
    <xf numFmtId="41" fontId="18" fillId="0" borderId="0" xfId="2" applyNumberFormat="1" applyAlignment="1">
      <alignment vertical="center"/>
    </xf>
    <xf numFmtId="0" fontId="148" fillId="0" borderId="100" xfId="2" applyFont="1" applyBorder="1" applyAlignment="1">
      <alignment horizontal="left" vertical="center" wrapText="1" shrinkToFit="1"/>
    </xf>
    <xf numFmtId="184" fontId="18" fillId="0" borderId="0" xfId="2" applyNumberFormat="1" applyAlignment="1">
      <alignment vertical="center"/>
    </xf>
    <xf numFmtId="0" fontId="138" fillId="0" borderId="100" xfId="2" quotePrefix="1" applyFont="1" applyFill="1" applyBorder="1" applyAlignment="1">
      <alignment vertical="center" shrinkToFit="1"/>
    </xf>
    <xf numFmtId="184" fontId="138" fillId="0" borderId="126" xfId="364" applyNumberFormat="1" applyFont="1" applyFill="1" applyBorder="1" applyAlignment="1">
      <alignment horizontal="right" vertical="center" shrinkToFit="1"/>
    </xf>
    <xf numFmtId="184" fontId="138" fillId="0" borderId="40" xfId="364" applyNumberFormat="1" applyFont="1" applyFill="1" applyBorder="1" applyAlignment="1">
      <alignment horizontal="right" vertical="center" shrinkToFit="1"/>
    </xf>
    <xf numFmtId="184" fontId="138" fillId="0" borderId="140" xfId="364" applyNumberFormat="1" applyFont="1" applyFill="1" applyBorder="1" applyAlignment="1">
      <alignment horizontal="right" vertical="center" shrinkToFit="1"/>
    </xf>
    <xf numFmtId="184" fontId="139" fillId="0" borderId="129" xfId="364" applyNumberFormat="1" applyFont="1" applyFill="1" applyBorder="1" applyAlignment="1">
      <alignment horizontal="right" vertical="center" shrinkToFit="1"/>
    </xf>
    <xf numFmtId="185" fontId="139" fillId="0" borderId="47" xfId="376" applyNumberFormat="1" applyFont="1" applyFill="1" applyBorder="1" applyAlignment="1">
      <alignment horizontal="right" vertical="center" shrinkToFit="1"/>
    </xf>
    <xf numFmtId="184" fontId="139" fillId="0" borderId="111" xfId="364" applyNumberFormat="1" applyFont="1" applyFill="1" applyBorder="1" applyAlignment="1">
      <alignment horizontal="right" vertical="center" shrinkToFit="1"/>
    </xf>
    <xf numFmtId="185" fontId="139" fillId="0" borderId="129" xfId="376" applyNumberFormat="1" applyFont="1" applyFill="1" applyBorder="1" applyAlignment="1">
      <alignment horizontal="right" vertical="center" shrinkToFit="1"/>
    </xf>
    <xf numFmtId="185" fontId="139" fillId="0" borderId="130" xfId="376" applyNumberFormat="1" applyFont="1" applyFill="1" applyBorder="1" applyAlignment="1">
      <alignment horizontal="right" vertical="center" shrinkToFit="1"/>
    </xf>
    <xf numFmtId="41" fontId="139" fillId="0" borderId="46" xfId="376" applyFont="1" applyFill="1" applyBorder="1" applyAlignment="1">
      <alignment horizontal="right" vertical="center" shrinkToFit="1"/>
    </xf>
    <xf numFmtId="41" fontId="139" fillId="0" borderId="130" xfId="376" applyFont="1" applyFill="1" applyBorder="1" applyAlignment="1">
      <alignment horizontal="right" vertical="center" shrinkToFit="1"/>
    </xf>
    <xf numFmtId="184" fontId="139" fillId="0" borderId="90" xfId="364" applyNumberFormat="1" applyFont="1" applyFill="1" applyBorder="1" applyAlignment="1">
      <alignment horizontal="right" vertical="center" shrinkToFit="1"/>
    </xf>
    <xf numFmtId="0" fontId="139" fillId="0" borderId="90" xfId="2" applyFont="1" applyFill="1" applyBorder="1" applyAlignment="1">
      <alignment horizontal="center" vertical="center" shrinkToFit="1"/>
    </xf>
    <xf numFmtId="0" fontId="148" fillId="0" borderId="53" xfId="2" applyFont="1" applyBorder="1" applyAlignment="1">
      <alignment horizontal="left" vertical="center" shrinkToFit="1"/>
    </xf>
    <xf numFmtId="0" fontId="142" fillId="0" borderId="96" xfId="2" applyFont="1" applyBorder="1" applyAlignment="1">
      <alignment horizontal="left" vertical="center" wrapText="1" shrinkToFit="1"/>
    </xf>
    <xf numFmtId="184" fontId="138" fillId="0" borderId="141" xfId="364" applyNumberFormat="1" applyFont="1" applyFill="1" applyBorder="1" applyAlignment="1">
      <alignment horizontal="right" vertical="center" shrinkToFit="1"/>
    </xf>
    <xf numFmtId="184" fontId="138" fillId="0" borderId="142" xfId="364" applyNumberFormat="1" applyFont="1" applyFill="1" applyBorder="1" applyAlignment="1">
      <alignment horizontal="right" vertical="center" shrinkToFit="1"/>
    </xf>
    <xf numFmtId="0" fontId="138" fillId="0" borderId="110" xfId="2" applyFont="1" applyFill="1" applyBorder="1" applyAlignment="1">
      <alignment horizontal="left" vertical="center" shrinkToFit="1"/>
    </xf>
    <xf numFmtId="184" fontId="138" fillId="0" borderId="121" xfId="364" applyNumberFormat="1" applyFont="1" applyFill="1" applyBorder="1" applyAlignment="1">
      <alignment horizontal="right" vertical="center" shrinkToFit="1"/>
    </xf>
    <xf numFmtId="184" fontId="138" fillId="0" borderId="125" xfId="364" applyNumberFormat="1" applyFont="1" applyFill="1" applyBorder="1" applyAlignment="1">
      <alignment horizontal="right" vertical="center" shrinkToFit="1"/>
    </xf>
    <xf numFmtId="0" fontId="138" fillId="0" borderId="34" xfId="2" applyFont="1" applyFill="1" applyBorder="1" applyAlignment="1">
      <alignment horizontal="center" vertical="center" shrinkToFit="1"/>
    </xf>
    <xf numFmtId="0" fontId="138" fillId="0" borderId="143" xfId="2" applyFont="1" applyFill="1" applyBorder="1" applyAlignment="1">
      <alignment horizontal="center" vertical="center" shrinkToFit="1"/>
    </xf>
    <xf numFmtId="0" fontId="138" fillId="0" borderId="143" xfId="2" applyFont="1" applyFill="1" applyBorder="1" applyAlignment="1">
      <alignment horizontal="left" vertical="center" shrinkToFit="1"/>
    </xf>
    <xf numFmtId="184" fontId="138" fillId="0" borderId="127" xfId="364" applyNumberFormat="1" applyFont="1" applyFill="1" applyBorder="1" applyAlignment="1">
      <alignment horizontal="right" vertical="center" shrinkToFit="1"/>
    </xf>
    <xf numFmtId="184" fontId="138" fillId="0" borderId="75" xfId="364" applyNumberFormat="1" applyFont="1" applyFill="1" applyBorder="1" applyAlignment="1">
      <alignment horizontal="right" vertical="center" shrinkToFit="1"/>
    </xf>
    <xf numFmtId="0" fontId="138" fillId="0" borderId="84" xfId="2" applyFont="1" applyBorder="1" applyAlignment="1">
      <alignment horizontal="center" vertical="center" shrinkToFit="1"/>
    </xf>
    <xf numFmtId="184" fontId="139" fillId="0" borderId="136" xfId="364" applyNumberFormat="1" applyFont="1" applyFill="1" applyBorder="1" applyAlignment="1">
      <alignment horizontal="right" vertical="center" shrinkToFit="1"/>
    </xf>
    <xf numFmtId="184" fontId="139" fillId="0" borderId="137" xfId="364" applyNumberFormat="1" applyFont="1" applyFill="1" applyBorder="1" applyAlignment="1">
      <alignment horizontal="right" vertical="center" shrinkToFit="1"/>
    </xf>
    <xf numFmtId="184" fontId="139" fillId="0" borderId="138" xfId="364" applyNumberFormat="1" applyFont="1" applyFill="1" applyBorder="1" applyAlignment="1">
      <alignment horizontal="right" vertical="center" shrinkToFit="1"/>
    </xf>
    <xf numFmtId="184" fontId="139" fillId="0" borderId="139" xfId="364" applyNumberFormat="1" applyFont="1" applyFill="1" applyBorder="1" applyAlignment="1">
      <alignment horizontal="right" vertical="center" shrinkToFit="1"/>
    </xf>
    <xf numFmtId="184" fontId="139" fillId="0" borderId="30" xfId="364" applyNumberFormat="1" applyFont="1" applyFill="1" applyBorder="1" applyAlignment="1">
      <alignment horizontal="right" vertical="center" shrinkToFit="1"/>
    </xf>
    <xf numFmtId="0" fontId="138" fillId="0" borderId="84" xfId="2" applyFont="1" applyBorder="1" applyAlignment="1">
      <alignment horizontal="left" vertical="center" shrinkToFit="1"/>
    </xf>
    <xf numFmtId="0" fontId="138" fillId="0" borderId="101" xfId="2" applyFont="1" applyBorder="1" applyAlignment="1">
      <alignment vertical="center" shrinkToFit="1"/>
    </xf>
    <xf numFmtId="0" fontId="138" fillId="0" borderId="128" xfId="2" applyFont="1" applyFill="1" applyBorder="1" applyAlignment="1">
      <alignment horizontal="center" vertical="center" shrinkToFit="1"/>
    </xf>
    <xf numFmtId="0" fontId="148" fillId="0" borderId="103" xfId="2" quotePrefix="1" applyFont="1" applyBorder="1" applyAlignment="1">
      <alignment horizontal="left" vertical="center" wrapText="1" shrinkToFit="1"/>
    </xf>
    <xf numFmtId="184" fontId="139" fillId="0" borderId="47" xfId="364" applyNumberFormat="1" applyFont="1" applyFill="1" applyBorder="1" applyAlignment="1">
      <alignment horizontal="right" vertical="center" shrinkToFit="1"/>
    </xf>
    <xf numFmtId="184" fontId="139" fillId="0" borderId="130" xfId="364" applyNumberFormat="1" applyFont="1" applyFill="1" applyBorder="1" applyAlignment="1">
      <alignment horizontal="right" vertical="center" shrinkToFit="1"/>
    </xf>
    <xf numFmtId="184" fontId="139" fillId="0" borderId="46" xfId="364" applyNumberFormat="1" applyFont="1" applyFill="1" applyBorder="1" applyAlignment="1">
      <alignment horizontal="right" vertical="center" shrinkToFit="1"/>
    </xf>
    <xf numFmtId="0" fontId="139" fillId="0" borderId="67" xfId="2" applyFont="1" applyBorder="1" applyAlignment="1">
      <alignment horizontal="left" vertical="center" shrinkToFit="1"/>
    </xf>
    <xf numFmtId="0" fontId="142" fillId="0" borderId="109" xfId="2" applyFont="1" applyBorder="1" applyAlignment="1">
      <alignment horizontal="center" vertical="center" shrinkToFit="1"/>
    </xf>
    <xf numFmtId="0" fontId="142" fillId="0" borderId="99" xfId="2" applyFont="1" applyBorder="1" applyAlignment="1">
      <alignment horizontal="center" vertical="center" shrinkToFit="1"/>
    </xf>
    <xf numFmtId="0" fontId="142" fillId="0" borderId="100" xfId="2" applyFont="1" applyBorder="1" applyAlignment="1">
      <alignment vertical="center" wrapText="1"/>
    </xf>
    <xf numFmtId="0" fontId="142" fillId="0" borderId="11" xfId="2" applyFont="1" applyBorder="1" applyAlignment="1">
      <alignment horizontal="center" vertical="center" wrapText="1" shrinkToFit="1"/>
    </xf>
    <xf numFmtId="0" fontId="142" fillId="0" borderId="34" xfId="2" applyFont="1" applyBorder="1" applyAlignment="1">
      <alignment horizontal="center" vertical="center" shrinkToFit="1"/>
    </xf>
    <xf numFmtId="0" fontId="142" fillId="0" borderId="128" xfId="2" applyFont="1" applyBorder="1" applyAlignment="1">
      <alignment horizontal="center" vertical="center" shrinkToFit="1"/>
    </xf>
    <xf numFmtId="0" fontId="148" fillId="0" borderId="30" xfId="2" applyFont="1" applyBorder="1" applyAlignment="1">
      <alignment horizontal="center" vertical="center" shrinkToFit="1"/>
    </xf>
    <xf numFmtId="0" fontId="142" fillId="0" borderId="100" xfId="2" quotePrefix="1" applyFont="1" applyBorder="1" applyAlignment="1">
      <alignment horizontal="left" vertical="center" wrapText="1"/>
    </xf>
    <xf numFmtId="0" fontId="142" fillId="0" borderId="103" xfId="2" quotePrefix="1" applyFont="1" applyBorder="1" applyAlignment="1">
      <alignment horizontal="left" vertical="center" wrapText="1" shrinkToFit="1"/>
    </xf>
    <xf numFmtId="184" fontId="148" fillId="0" borderId="144" xfId="364" applyNumberFormat="1" applyFont="1" applyFill="1" applyBorder="1" applyAlignment="1">
      <alignment horizontal="right" vertical="center" shrinkToFit="1"/>
    </xf>
    <xf numFmtId="184" fontId="148" fillId="0" borderId="58" xfId="364" applyNumberFormat="1" applyFont="1" applyFill="1" applyBorder="1" applyAlignment="1">
      <alignment horizontal="right" vertical="center" shrinkToFit="1"/>
    </xf>
    <xf numFmtId="184" fontId="148" fillId="0" borderId="145" xfId="364" applyNumberFormat="1" applyFont="1" applyFill="1" applyBorder="1" applyAlignment="1">
      <alignment horizontal="right" vertical="center" shrinkToFit="1"/>
    </xf>
    <xf numFmtId="184" fontId="148" fillId="0" borderId="48" xfId="364" applyNumberFormat="1" applyFont="1" applyFill="1" applyBorder="1" applyAlignment="1">
      <alignment horizontal="right" vertical="center" shrinkToFit="1"/>
    </xf>
    <xf numFmtId="184" fontId="148" fillId="0" borderId="113" xfId="364" applyNumberFormat="1" applyFont="1" applyFill="1" applyBorder="1" applyAlignment="1">
      <alignment horizontal="right" vertical="center" shrinkToFit="1"/>
    </xf>
    <xf numFmtId="0" fontId="148" fillId="0" borderId="146" xfId="2" applyFont="1" applyBorder="1" applyAlignment="1">
      <alignment horizontal="center" vertical="center" shrinkToFit="1"/>
    </xf>
    <xf numFmtId="0" fontId="142" fillId="0" borderId="96" xfId="2" applyFont="1" applyBorder="1" applyAlignment="1">
      <alignment vertical="center" wrapText="1" shrinkToFit="1"/>
    </xf>
    <xf numFmtId="0" fontId="142" fillId="0" borderId="100" xfId="2" quotePrefix="1" applyFont="1" applyBorder="1" applyAlignment="1">
      <alignment vertical="center" wrapText="1" shrinkToFit="1"/>
    </xf>
    <xf numFmtId="0" fontId="142" fillId="0" borderId="11" xfId="2" applyFont="1" applyBorder="1" applyAlignment="1">
      <alignment horizontal="center" vertical="center" shrinkToFit="1"/>
    </xf>
    <xf numFmtId="0" fontId="142" fillId="0" borderId="128" xfId="369" applyFont="1" applyBorder="1" applyAlignment="1">
      <alignment horizontal="center" vertical="center" shrinkToFit="1"/>
    </xf>
    <xf numFmtId="184" fontId="148" fillId="0" borderId="136" xfId="364" applyNumberFormat="1" applyFont="1" applyFill="1" applyBorder="1" applyAlignment="1">
      <alignment horizontal="right" vertical="center" shrinkToFit="1"/>
    </xf>
    <xf numFmtId="184" fontId="148" fillId="0" borderId="137" xfId="364" applyNumberFormat="1" applyFont="1" applyFill="1" applyBorder="1" applyAlignment="1">
      <alignment horizontal="right" vertical="center" shrinkToFit="1"/>
    </xf>
    <xf numFmtId="184" fontId="148" fillId="0" borderId="138" xfId="364" applyNumberFormat="1" applyFont="1" applyFill="1" applyBorder="1" applyAlignment="1">
      <alignment horizontal="right" vertical="center" shrinkToFit="1"/>
    </xf>
    <xf numFmtId="184" fontId="148" fillId="0" borderId="139" xfId="364" applyNumberFormat="1" applyFont="1" applyFill="1" applyBorder="1" applyAlignment="1">
      <alignment horizontal="right" vertical="center" shrinkToFit="1"/>
    </xf>
    <xf numFmtId="184" fontId="148" fillId="0" borderId="80" xfId="364" applyNumberFormat="1" applyFont="1" applyFill="1" applyBorder="1" applyAlignment="1">
      <alignment horizontal="right" vertical="center" shrinkToFit="1"/>
    </xf>
    <xf numFmtId="0" fontId="148" fillId="0" borderId="32" xfId="369" applyFont="1" applyBorder="1" applyAlignment="1">
      <alignment horizontal="center" vertical="center" shrinkToFit="1"/>
    </xf>
    <xf numFmtId="0" fontId="148" fillId="0" borderId="101" xfId="2" applyFont="1" applyBorder="1" applyAlignment="1">
      <alignment horizontal="left" vertical="center" shrinkToFit="1"/>
    </xf>
    <xf numFmtId="0" fontId="148" fillId="0" borderId="103" xfId="2" quotePrefix="1" applyFont="1" applyBorder="1" applyAlignment="1">
      <alignment vertical="center" wrapText="1" shrinkToFit="1"/>
    </xf>
    <xf numFmtId="0" fontId="148" fillId="0" borderId="90" xfId="2" applyFont="1" applyBorder="1" applyAlignment="1">
      <alignment horizontal="center" vertical="center" shrinkToFit="1"/>
    </xf>
    <xf numFmtId="0" fontId="147" fillId="0" borderId="0" xfId="2" applyFont="1" applyAlignment="1">
      <alignment vertical="center"/>
    </xf>
    <xf numFmtId="184" fontId="142" fillId="0" borderId="141" xfId="364" applyNumberFormat="1" applyFont="1" applyFill="1" applyBorder="1" applyAlignment="1">
      <alignment horizontal="right" vertical="center" shrinkToFit="1"/>
    </xf>
    <xf numFmtId="184" fontId="142" fillId="0" borderId="97" xfId="364" applyNumberFormat="1" applyFont="1" applyFill="1" applyBorder="1" applyAlignment="1">
      <alignment horizontal="right" vertical="center" shrinkToFit="1"/>
    </xf>
    <xf numFmtId="184" fontId="142" fillId="0" borderId="133" xfId="364" applyNumberFormat="1" applyFont="1" applyFill="1" applyBorder="1" applyAlignment="1">
      <alignment horizontal="right" vertical="center" shrinkToFit="1"/>
    </xf>
    <xf numFmtId="184" fontId="142" fillId="0" borderId="98" xfId="364" applyNumberFormat="1" applyFont="1" applyFill="1" applyBorder="1" applyAlignment="1">
      <alignment horizontal="right" vertical="center" shrinkToFit="1"/>
    </xf>
    <xf numFmtId="0" fontId="142" fillId="0" borderId="93" xfId="2" applyFont="1" applyBorder="1" applyAlignment="1">
      <alignment horizontal="center" vertical="center" shrinkToFit="1"/>
    </xf>
    <xf numFmtId="0" fontId="149" fillId="0" borderId="101" xfId="2" applyFont="1" applyBorder="1" applyAlignment="1">
      <alignment vertical="center"/>
    </xf>
    <xf numFmtId="184" fontId="142" fillId="0" borderId="142" xfId="364" applyNumberFormat="1" applyFont="1" applyFill="1" applyBorder="1" applyAlignment="1">
      <alignment horizontal="right" vertical="center" shrinkToFit="1"/>
    </xf>
    <xf numFmtId="0" fontId="148" fillId="0" borderId="90" xfId="369" applyFont="1" applyBorder="1" applyAlignment="1">
      <alignment horizontal="center" vertical="center" shrinkToFit="1"/>
    </xf>
    <xf numFmtId="0" fontId="142" fillId="0" borderId="147" xfId="369" applyFont="1" applyBorder="1" applyAlignment="1">
      <alignment vertical="center" shrinkToFit="1"/>
    </xf>
    <xf numFmtId="0" fontId="142" fillId="0" borderId="97" xfId="2" applyFont="1" applyBorder="1" applyAlignment="1">
      <alignment horizontal="center" vertical="center" shrinkToFit="1"/>
    </xf>
    <xf numFmtId="0" fontId="142" fillId="0" borderId="148" xfId="369" applyFont="1" applyBorder="1" applyAlignment="1">
      <alignment horizontal="left" vertical="center" shrinkToFit="1"/>
    </xf>
    <xf numFmtId="0" fontId="142" fillId="0" borderId="149" xfId="2" applyFont="1" applyBorder="1" applyAlignment="1">
      <alignment vertical="center" shrinkToFit="1"/>
    </xf>
    <xf numFmtId="0" fontId="142" fillId="0" borderId="83" xfId="369" applyFont="1" applyBorder="1" applyAlignment="1">
      <alignment horizontal="center" vertical="center" shrinkToFit="1"/>
    </xf>
    <xf numFmtId="0" fontId="142" fillId="0" borderId="84" xfId="369" applyFont="1" applyBorder="1" applyAlignment="1">
      <alignment horizontal="center" vertical="center" shrinkToFit="1"/>
    </xf>
    <xf numFmtId="0" fontId="142" fillId="10" borderId="149" xfId="2" applyFont="1" applyFill="1" applyBorder="1" applyAlignment="1">
      <alignment vertical="center" shrinkToFit="1"/>
    </xf>
    <xf numFmtId="0" fontId="142" fillId="0" borderId="84" xfId="369" applyFont="1" applyBorder="1" applyAlignment="1">
      <alignment horizontal="left" vertical="center" shrinkToFit="1"/>
    </xf>
    <xf numFmtId="0" fontId="142" fillId="10" borderId="149" xfId="2" applyFont="1" applyFill="1" applyBorder="1" applyAlignment="1">
      <alignment vertical="center" wrapText="1" shrinkToFit="1"/>
    </xf>
    <xf numFmtId="0" fontId="148" fillId="0" borderId="94" xfId="2" applyFont="1" applyBorder="1" applyAlignment="1">
      <alignment horizontal="center" vertical="center" shrinkToFit="1"/>
    </xf>
    <xf numFmtId="0" fontId="142" fillId="10" borderId="101" xfId="369" applyFont="1" applyFill="1" applyBorder="1" applyAlignment="1" applyProtection="1">
      <alignment vertical="center" shrinkToFit="1"/>
      <protection locked="0"/>
    </xf>
    <xf numFmtId="0" fontId="148" fillId="10" borderId="149" xfId="2" quotePrefix="1" applyFont="1" applyFill="1" applyBorder="1" applyAlignment="1">
      <alignment vertical="center" wrapText="1" shrinkToFit="1"/>
    </xf>
    <xf numFmtId="0" fontId="142" fillId="10" borderId="101" xfId="369" applyFont="1" applyFill="1" applyBorder="1" applyAlignment="1" applyProtection="1">
      <alignment horizontal="left" vertical="center" shrinkToFit="1"/>
      <protection locked="0"/>
    </xf>
    <xf numFmtId="0" fontId="142" fillId="10" borderId="149" xfId="2" quotePrefix="1" applyFont="1" applyFill="1" applyBorder="1" applyAlignment="1">
      <alignment vertical="center" wrapText="1" shrinkToFit="1"/>
    </xf>
    <xf numFmtId="0" fontId="142" fillId="0" borderId="149" xfId="2" quotePrefix="1" applyFont="1" applyFill="1" applyBorder="1" applyAlignment="1">
      <alignment vertical="center" shrinkToFit="1"/>
    </xf>
    <xf numFmtId="0" fontId="148" fillId="0" borderId="91" xfId="369" quotePrefix="1" applyFont="1" applyBorder="1" applyAlignment="1">
      <alignment vertical="center" shrinkToFit="1"/>
    </xf>
    <xf numFmtId="0" fontId="148" fillId="0" borderId="58" xfId="2" applyFont="1" applyBorder="1" applyAlignment="1">
      <alignment horizontal="center" vertical="center" shrinkToFit="1"/>
    </xf>
    <xf numFmtId="0" fontId="148" fillId="0" borderId="67" xfId="2" applyFont="1" applyBorder="1" applyAlignment="1">
      <alignment horizontal="left" vertical="center" shrinkToFit="1"/>
    </xf>
    <xf numFmtId="0" fontId="142" fillId="0" borderId="96" xfId="369" applyFont="1" applyBorder="1" applyAlignment="1">
      <alignment vertical="center" shrinkToFit="1"/>
    </xf>
    <xf numFmtId="0" fontId="142" fillId="0" borderId="93" xfId="2" applyFont="1" applyFill="1" applyBorder="1" applyAlignment="1">
      <alignment horizontal="center" vertical="center" shrinkToFit="1"/>
    </xf>
    <xf numFmtId="0" fontId="142" fillId="0" borderId="99" xfId="369" applyFont="1" applyBorder="1" applyAlignment="1">
      <alignment horizontal="left" vertical="center" shrinkToFit="1"/>
    </xf>
    <xf numFmtId="0" fontId="142" fillId="0" borderId="100" xfId="2" quotePrefix="1" applyFont="1" applyFill="1" applyBorder="1" applyAlignment="1">
      <alignment vertical="center" shrinkToFit="1"/>
    </xf>
    <xf numFmtId="0" fontId="142" fillId="0" borderId="101" xfId="369" applyFont="1" applyBorder="1" applyAlignment="1">
      <alignment horizontal="left" vertical="center" shrinkToFit="1"/>
    </xf>
    <xf numFmtId="0" fontId="142" fillId="0" borderId="101" xfId="369" applyFont="1" applyBorder="1" applyAlignment="1">
      <alignment horizontal="center" vertical="center" shrinkToFit="1"/>
    </xf>
    <xf numFmtId="184" fontId="142" fillId="0" borderId="150" xfId="364" applyNumberFormat="1" applyFont="1" applyFill="1" applyBorder="1" applyAlignment="1">
      <alignment horizontal="right" vertical="center" shrinkToFit="1"/>
    </xf>
    <xf numFmtId="184" fontId="142" fillId="0" borderId="39" xfId="364" applyNumberFormat="1" applyFont="1" applyFill="1" applyBorder="1" applyAlignment="1">
      <alignment horizontal="right" vertical="center" shrinkToFit="1"/>
    </xf>
    <xf numFmtId="0" fontId="142" fillId="0" borderId="10" xfId="369" applyFont="1" applyBorder="1" applyAlignment="1">
      <alignment horizontal="center" vertical="center" shrinkToFit="1"/>
    </xf>
    <xf numFmtId="0" fontId="148" fillId="0" borderId="103" xfId="369" quotePrefix="1" applyFont="1" applyBorder="1" applyAlignment="1">
      <alignment vertical="center" shrinkToFit="1"/>
    </xf>
    <xf numFmtId="0" fontId="148" fillId="0" borderId="146" xfId="2" applyFont="1" applyFill="1" applyBorder="1" applyAlignment="1">
      <alignment horizontal="center" vertical="center" shrinkToFit="1"/>
    </xf>
    <xf numFmtId="0" fontId="148" fillId="0" borderId="53" xfId="375" applyFont="1" applyBorder="1" applyAlignment="1">
      <alignment horizontal="left" vertical="center" shrinkToFit="1"/>
    </xf>
    <xf numFmtId="0" fontId="142" fillId="0" borderId="11" xfId="369" applyFont="1" applyBorder="1" applyAlignment="1">
      <alignment horizontal="center" vertical="center" shrinkToFit="1"/>
    </xf>
    <xf numFmtId="184" fontId="142" fillId="0" borderId="151" xfId="364" applyNumberFormat="1" applyFont="1" applyFill="1" applyBorder="1" applyAlignment="1">
      <alignment horizontal="right" vertical="center" shrinkToFit="1"/>
    </xf>
    <xf numFmtId="184" fontId="142" fillId="0" borderId="152" xfId="364" applyNumberFormat="1" applyFont="1" applyFill="1" applyBorder="1" applyAlignment="1">
      <alignment horizontal="right" vertical="center" shrinkToFit="1"/>
    </xf>
    <xf numFmtId="0" fontId="142" fillId="0" borderId="100" xfId="369" applyFont="1" applyBorder="1" applyAlignment="1">
      <alignment vertical="center" shrinkToFit="1"/>
    </xf>
    <xf numFmtId="184" fontId="142" fillId="0" borderId="136" xfId="364" applyNumberFormat="1" applyFont="1" applyFill="1" applyBorder="1" applyAlignment="1">
      <alignment horizontal="right" vertical="center" shrinkToFit="1"/>
    </xf>
    <xf numFmtId="184" fontId="142" fillId="0" borderId="137" xfId="364" applyNumberFormat="1" applyFont="1" applyFill="1" applyBorder="1" applyAlignment="1">
      <alignment horizontal="right" vertical="center" shrinkToFit="1"/>
    </xf>
    <xf numFmtId="184" fontId="142" fillId="0" borderId="138" xfId="364" applyNumberFormat="1" applyFont="1" applyFill="1" applyBorder="1" applyAlignment="1">
      <alignment horizontal="right" vertical="center" shrinkToFit="1"/>
    </xf>
    <xf numFmtId="184" fontId="142" fillId="0" borderId="80" xfId="364" applyNumberFormat="1" applyFont="1" applyFill="1" applyBorder="1" applyAlignment="1">
      <alignment horizontal="right" vertical="center" shrinkToFit="1"/>
    </xf>
    <xf numFmtId="0" fontId="142" fillId="0" borderId="32" xfId="2" applyFont="1" applyFill="1" applyBorder="1" applyAlignment="1">
      <alignment horizontal="center" vertical="center" shrinkToFit="1"/>
    </xf>
    <xf numFmtId="0" fontId="148" fillId="0" borderId="100" xfId="369" quotePrefix="1" applyFont="1" applyBorder="1" applyAlignment="1">
      <alignment vertical="center" shrinkToFit="1"/>
    </xf>
    <xf numFmtId="184" fontId="148" fillId="0" borderId="151" xfId="364" applyNumberFormat="1" applyFont="1" applyFill="1" applyBorder="1" applyAlignment="1">
      <alignment horizontal="right" vertical="center" shrinkToFit="1"/>
    </xf>
    <xf numFmtId="184" fontId="148" fillId="0" borderId="39" xfId="364" applyNumberFormat="1" applyFont="1" applyFill="1" applyBorder="1" applyAlignment="1">
      <alignment horizontal="right" vertical="center" shrinkToFit="1"/>
    </xf>
    <xf numFmtId="184" fontId="148" fillId="0" borderId="150" xfId="364" applyNumberFormat="1" applyFont="1" applyFill="1" applyBorder="1" applyAlignment="1">
      <alignment horizontal="right" vertical="center" shrinkToFit="1"/>
    </xf>
    <xf numFmtId="184" fontId="148" fillId="0" borderId="152" xfId="364" applyNumberFormat="1" applyFont="1" applyFill="1" applyBorder="1" applyAlignment="1">
      <alignment horizontal="right" vertical="center" shrinkToFit="1"/>
    </xf>
    <xf numFmtId="0" fontId="148" fillId="0" borderId="10" xfId="2" applyFont="1" applyFill="1" applyBorder="1" applyAlignment="1">
      <alignment horizontal="center" vertical="center" shrinkToFit="1"/>
    </xf>
    <xf numFmtId="0" fontId="148" fillId="0" borderId="101" xfId="375" applyFont="1" applyBorder="1" applyAlignment="1">
      <alignment horizontal="left" vertical="center" shrinkToFit="1"/>
    </xf>
    <xf numFmtId="0" fontId="150" fillId="0" borderId="100" xfId="2" quotePrefix="1" applyFont="1" applyFill="1" applyBorder="1" applyAlignment="1">
      <alignment vertical="center" shrinkToFit="1"/>
    </xf>
    <xf numFmtId="0" fontId="142" fillId="0" borderId="100" xfId="369" quotePrefix="1" applyFont="1" applyBorder="1" applyAlignment="1">
      <alignment vertical="center" shrinkToFit="1"/>
    </xf>
    <xf numFmtId="184" fontId="142" fillId="0" borderId="117" xfId="4" applyNumberFormat="1" applyFont="1" applyFill="1" applyBorder="1" applyAlignment="1">
      <alignment horizontal="right" vertical="center" shrinkToFit="1"/>
    </xf>
    <xf numFmtId="184" fontId="142" fillId="0" borderId="120" xfId="4" applyNumberFormat="1" applyFont="1" applyFill="1" applyBorder="1" applyAlignment="1">
      <alignment horizontal="right" vertical="center" shrinkToFit="1"/>
    </xf>
    <xf numFmtId="184" fontId="142" fillId="0" borderId="153" xfId="364" applyNumberFormat="1" applyFont="1" applyFill="1" applyBorder="1" applyAlignment="1">
      <alignment horizontal="right" vertical="center" shrinkToFit="1"/>
    </xf>
    <xf numFmtId="184" fontId="148" fillId="0" borderId="122" xfId="4" applyNumberFormat="1" applyFont="1" applyFill="1" applyBorder="1" applyAlignment="1">
      <alignment horizontal="right" vertical="center" shrinkToFit="1"/>
    </xf>
    <xf numFmtId="184" fontId="148" fillId="0" borderId="112" xfId="364" applyNumberFormat="1" applyFont="1" applyFill="1" applyBorder="1" applyAlignment="1">
      <alignment horizontal="right" vertical="center" shrinkToFit="1"/>
    </xf>
    <xf numFmtId="184" fontId="142" fillId="0" borderId="141" xfId="4" applyNumberFormat="1" applyFont="1" applyFill="1" applyBorder="1" applyAlignment="1">
      <alignment horizontal="right" vertical="center" shrinkToFit="1"/>
    </xf>
    <xf numFmtId="184" fontId="142" fillId="0" borderId="97" xfId="4" applyNumberFormat="1" applyFont="1" applyFill="1" applyBorder="1" applyAlignment="1">
      <alignment horizontal="right" vertical="center" shrinkToFit="1"/>
    </xf>
    <xf numFmtId="184" fontId="142" fillId="0" borderId="133" xfId="4" applyNumberFormat="1" applyFont="1" applyFill="1" applyBorder="1" applyAlignment="1">
      <alignment horizontal="right" vertical="center" shrinkToFit="1"/>
    </xf>
    <xf numFmtId="184" fontId="142" fillId="0" borderId="98" xfId="4" applyNumberFormat="1" applyFont="1" applyFill="1" applyBorder="1" applyAlignment="1">
      <alignment horizontal="right" vertical="center" shrinkToFit="1"/>
    </xf>
    <xf numFmtId="0" fontId="142" fillId="0" borderId="99" xfId="2" applyFont="1" applyFill="1" applyBorder="1" applyAlignment="1">
      <alignment horizontal="center" vertical="center" shrinkToFit="1"/>
    </xf>
    <xf numFmtId="184" fontId="142" fillId="0" borderId="121" xfId="4" applyNumberFormat="1" applyFont="1" applyFill="1" applyBorder="1" applyAlignment="1">
      <alignment horizontal="right" vertical="center" shrinkToFit="1"/>
    </xf>
    <xf numFmtId="0" fontId="142" fillId="0" borderId="101" xfId="362" applyFont="1" applyFill="1" applyBorder="1" applyAlignment="1">
      <alignment horizontal="left" vertical="center" shrinkToFit="1"/>
    </xf>
    <xf numFmtId="184" fontId="148" fillId="0" borderId="94" xfId="4" applyNumberFormat="1" applyFont="1" applyFill="1" applyBorder="1" applyAlignment="1">
      <alignment horizontal="right" vertical="center" shrinkToFit="1"/>
    </xf>
    <xf numFmtId="184" fontId="148" fillId="0" borderId="123" xfId="4" applyNumberFormat="1" applyFont="1" applyFill="1" applyBorder="1" applyAlignment="1">
      <alignment horizontal="right" vertical="center" shrinkToFit="1"/>
    </xf>
    <xf numFmtId="184" fontId="148" fillId="0" borderId="95" xfId="4" applyNumberFormat="1" applyFont="1" applyFill="1" applyBorder="1" applyAlignment="1">
      <alignment horizontal="right" vertical="center" shrinkToFit="1"/>
    </xf>
    <xf numFmtId="184" fontId="142" fillId="0" borderId="118" xfId="4" applyNumberFormat="1" applyFont="1" applyFill="1" applyBorder="1" applyAlignment="1">
      <alignment horizontal="right" vertical="center" shrinkToFit="1"/>
    </xf>
    <xf numFmtId="184" fontId="142" fillId="0" borderId="119" xfId="4" applyNumberFormat="1" applyFont="1" applyFill="1" applyBorder="1" applyAlignment="1">
      <alignment horizontal="right" vertical="center" shrinkToFit="1"/>
    </xf>
    <xf numFmtId="184" fontId="142" fillId="0" borderId="41" xfId="4" applyNumberFormat="1" applyFont="1" applyFill="1" applyBorder="1" applyAlignment="1">
      <alignment horizontal="right" vertical="center" shrinkToFit="1"/>
    </xf>
    <xf numFmtId="0" fontId="142" fillId="0" borderId="100" xfId="2" quotePrefix="1" applyFont="1" applyFill="1" applyBorder="1" applyAlignment="1">
      <alignment vertical="center" wrapText="1" shrinkToFit="1"/>
    </xf>
    <xf numFmtId="0" fontId="148" fillId="0" borderId="154" xfId="362" quotePrefix="1" applyFont="1" applyFill="1" applyBorder="1" applyAlignment="1">
      <alignment vertical="center" shrinkToFit="1"/>
    </xf>
    <xf numFmtId="0" fontId="148" fillId="0" borderId="32" xfId="2" applyFont="1" applyFill="1" applyBorder="1" applyAlignment="1">
      <alignment horizontal="center" vertical="center" shrinkToFit="1"/>
    </xf>
    <xf numFmtId="0" fontId="148" fillId="0" borderId="155" xfId="2" applyFont="1" applyFill="1" applyBorder="1" applyAlignment="1">
      <alignment horizontal="left" vertical="center" shrinkToFit="1"/>
    </xf>
    <xf numFmtId="0" fontId="148" fillId="9" borderId="120" xfId="2" applyFont="1" applyFill="1" applyBorder="1" applyAlignment="1">
      <alignment horizontal="center" vertical="center" wrapText="1"/>
    </xf>
    <xf numFmtId="0" fontId="148" fillId="9" borderId="83" xfId="2" applyFont="1" applyFill="1" applyBorder="1" applyAlignment="1">
      <alignment horizontal="center" vertical="center" wrapText="1"/>
    </xf>
    <xf numFmtId="0" fontId="148" fillId="9" borderId="121" xfId="2" applyFont="1" applyFill="1" applyBorder="1" applyAlignment="1">
      <alignment horizontal="center" vertical="center"/>
    </xf>
    <xf numFmtId="0" fontId="148" fillId="9" borderId="120" xfId="2" applyFont="1" applyFill="1" applyBorder="1" applyAlignment="1">
      <alignment horizontal="center" vertical="center" wrapText="1" shrinkToFit="1"/>
    </xf>
    <xf numFmtId="0" fontId="18" fillId="0" borderId="0" xfId="2" applyBorder="1"/>
    <xf numFmtId="0" fontId="138" fillId="0" borderId="0" xfId="2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7" fillId="57" borderId="24" xfId="0" applyFont="1" applyFill="1" applyBorder="1" applyAlignment="1">
      <alignment horizontal="center" vertical="center"/>
    </xf>
    <xf numFmtId="0" fontId="77" fillId="57" borderId="27" xfId="0" applyFont="1" applyFill="1" applyBorder="1" applyAlignment="1">
      <alignment horizontal="center" vertical="center"/>
    </xf>
    <xf numFmtId="0" fontId="77" fillId="57" borderId="32" xfId="0" applyFont="1" applyFill="1" applyBorder="1" applyAlignment="1">
      <alignment horizontal="center" vertical="center"/>
    </xf>
    <xf numFmtId="0" fontId="74" fillId="0" borderId="28" xfId="0" applyFont="1" applyBorder="1" applyAlignment="1">
      <alignment horizontal="center" vertical="center"/>
    </xf>
    <xf numFmtId="0" fontId="74" fillId="0" borderId="21" xfId="0" applyFont="1" applyBorder="1" applyAlignment="1">
      <alignment horizontal="center" vertical="center"/>
    </xf>
    <xf numFmtId="0" fontId="74" fillId="0" borderId="29" xfId="0" applyFont="1" applyBorder="1" applyAlignment="1">
      <alignment horizontal="center" vertical="center"/>
    </xf>
    <xf numFmtId="0" fontId="13" fillId="0" borderId="3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02" fillId="4" borderId="25" xfId="0" applyFont="1" applyFill="1" applyBorder="1" applyAlignment="1" applyProtection="1">
      <alignment horizontal="center" vertical="center"/>
    </xf>
    <xf numFmtId="0" fontId="102" fillId="4" borderId="26" xfId="0" applyFont="1" applyFill="1" applyBorder="1" applyAlignment="1" applyProtection="1">
      <alignment horizontal="center" vertical="center"/>
    </xf>
    <xf numFmtId="0" fontId="102" fillId="4" borderId="27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23" fillId="59" borderId="25" xfId="0" applyFont="1" applyFill="1" applyBorder="1" applyAlignment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177" fontId="102" fillId="54" borderId="24" xfId="0" applyNumberFormat="1" applyFont="1" applyFill="1" applyBorder="1" applyAlignment="1" applyProtection="1">
      <alignment horizontal="center" vertical="center" wrapText="1"/>
    </xf>
    <xf numFmtId="177" fontId="102" fillId="54" borderId="32" xfId="0" applyNumberFormat="1" applyFont="1" applyFill="1" applyBorder="1" applyAlignment="1" applyProtection="1">
      <alignment horizontal="center" vertical="center" wrapText="1"/>
    </xf>
    <xf numFmtId="177" fontId="102" fillId="54" borderId="34" xfId="0" applyNumberFormat="1" applyFont="1" applyFill="1" applyBorder="1" applyAlignment="1" applyProtection="1">
      <alignment horizontal="center" vertical="center" wrapText="1"/>
    </xf>
    <xf numFmtId="177" fontId="102" fillId="54" borderId="11" xfId="0" applyNumberFormat="1" applyFont="1" applyFill="1" applyBorder="1" applyAlignment="1" applyProtection="1">
      <alignment horizontal="center" vertical="center" wrapText="1"/>
    </xf>
    <xf numFmtId="0" fontId="122" fillId="59" borderId="25" xfId="0" applyFont="1" applyFill="1" applyBorder="1" applyAlignment="1">
      <alignment horizontal="center" vertical="center" wrapText="1"/>
    </xf>
    <xf numFmtId="0" fontId="122" fillId="59" borderId="26" xfId="0" applyFont="1" applyFill="1" applyBorder="1" applyAlignment="1">
      <alignment horizontal="center" vertical="center" wrapText="1"/>
    </xf>
    <xf numFmtId="0" fontId="122" fillId="59" borderId="27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2" fillId="4" borderId="32" xfId="0" applyFont="1" applyFill="1" applyBorder="1" applyAlignment="1" applyProtection="1">
      <alignment horizontal="center" vertical="center" wrapText="1"/>
    </xf>
    <xf numFmtId="0" fontId="102" fillId="4" borderId="11" xfId="0" applyFont="1" applyFill="1" applyBorder="1" applyAlignment="1" applyProtection="1">
      <alignment horizontal="center" vertical="center" wrapText="1"/>
    </xf>
    <xf numFmtId="0" fontId="102" fillId="4" borderId="2" xfId="0" applyFont="1" applyFill="1" applyBorder="1" applyAlignment="1" applyProtection="1">
      <alignment horizontal="center" vertical="center" wrapText="1"/>
    </xf>
    <xf numFmtId="0" fontId="102" fillId="4" borderId="24" xfId="0" applyFont="1" applyFill="1" applyBorder="1" applyAlignment="1" applyProtection="1">
      <alignment horizontal="center" vertical="center" wrapText="1"/>
    </xf>
    <xf numFmtId="0" fontId="102" fillId="4" borderId="2" xfId="0" applyFont="1" applyFill="1" applyBorder="1" applyAlignment="1" applyProtection="1">
      <alignment horizontal="center" vertical="center"/>
    </xf>
    <xf numFmtId="0" fontId="128" fillId="0" borderId="25" xfId="0" applyFont="1" applyBorder="1" applyAlignment="1" applyProtection="1">
      <alignment horizontal="center" vertical="center" wrapText="1"/>
    </xf>
    <xf numFmtId="0" fontId="128" fillId="0" borderId="27" xfId="0" applyFont="1" applyBorder="1" applyAlignment="1" applyProtection="1">
      <alignment horizontal="center" vertical="center" wrapText="1"/>
    </xf>
    <xf numFmtId="0" fontId="102" fillId="4" borderId="25" xfId="0" applyFont="1" applyFill="1" applyBorder="1" applyAlignment="1" applyProtection="1">
      <alignment horizontal="center" vertical="center" wrapText="1"/>
    </xf>
    <xf numFmtId="0" fontId="102" fillId="4" borderId="27" xfId="0" applyFont="1" applyFill="1" applyBorder="1" applyAlignment="1" applyProtection="1">
      <alignment horizontal="center" vertical="center" wrapText="1"/>
    </xf>
    <xf numFmtId="0" fontId="102" fillId="54" borderId="24" xfId="0" applyFont="1" applyFill="1" applyBorder="1" applyAlignment="1" applyProtection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shrinkToFit="1"/>
    </xf>
    <xf numFmtId="177" fontId="102" fillId="54" borderId="24" xfId="0" applyNumberFormat="1" applyFont="1" applyFill="1" applyBorder="1" applyAlignment="1">
      <alignment horizontal="center" vertical="center" wrapText="1"/>
    </xf>
    <xf numFmtId="177" fontId="102" fillId="54" borderId="24" xfId="0" applyNumberFormat="1" applyFont="1" applyFill="1" applyBorder="1" applyAlignment="1">
      <alignment horizontal="center" vertical="center"/>
    </xf>
    <xf numFmtId="0" fontId="102" fillId="54" borderId="24" xfId="0" applyFont="1" applyFill="1" applyBorder="1" applyAlignment="1" applyProtection="1">
      <alignment horizontal="center" vertical="center" shrinkToFit="1"/>
    </xf>
    <xf numFmtId="0" fontId="105" fillId="0" borderId="0" xfId="0" applyFont="1" applyBorder="1" applyAlignment="1" applyProtection="1">
      <alignment horizontal="center" vertical="center" shrinkToFit="1"/>
    </xf>
    <xf numFmtId="0" fontId="102" fillId="54" borderId="24" xfId="0" applyFont="1" applyFill="1" applyBorder="1" applyAlignment="1" applyProtection="1">
      <alignment horizontal="center" vertical="center" wrapText="1" shrinkToFit="1"/>
    </xf>
    <xf numFmtId="177" fontId="102" fillId="54" borderId="24" xfId="0" applyNumberFormat="1" applyFont="1" applyFill="1" applyBorder="1" applyAlignment="1" applyProtection="1">
      <alignment horizontal="center" vertical="center"/>
    </xf>
    <xf numFmtId="0" fontId="102" fillId="54" borderId="24" xfId="0" applyFont="1" applyFill="1" applyBorder="1" applyAlignment="1" applyProtection="1">
      <alignment horizontal="center" vertical="center" wrapText="1"/>
    </xf>
    <xf numFmtId="177" fontId="123" fillId="59" borderId="25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2" fillId="59" borderId="25" xfId="0" applyNumberFormat="1" applyFont="1" applyFill="1" applyBorder="1" applyAlignment="1">
      <alignment horizontal="center" vertical="center" wrapText="1"/>
    </xf>
    <xf numFmtId="177" fontId="122" fillId="59" borderId="26" xfId="0" applyNumberFormat="1" applyFont="1" applyFill="1" applyBorder="1" applyAlignment="1">
      <alignment horizontal="center" vertical="center" wrapText="1"/>
    </xf>
    <xf numFmtId="177" fontId="122" fillId="59" borderId="27" xfId="0" applyNumberFormat="1" applyFont="1" applyFill="1" applyBorder="1" applyAlignment="1">
      <alignment horizontal="center" vertical="center" wrapText="1"/>
    </xf>
    <xf numFmtId="177" fontId="102" fillId="4" borderId="32" xfId="0" applyNumberFormat="1" applyFont="1" applyFill="1" applyBorder="1" applyAlignment="1" applyProtection="1">
      <alignment horizontal="center" vertical="center"/>
    </xf>
    <xf numFmtId="177" fontId="102" fillId="4" borderId="11" xfId="0" applyNumberFormat="1" applyFont="1" applyFill="1" applyBorder="1" applyAlignment="1" applyProtection="1">
      <alignment horizontal="center" vertical="center"/>
    </xf>
    <xf numFmtId="177" fontId="102" fillId="4" borderId="25" xfId="0" applyNumberFormat="1" applyFont="1" applyFill="1" applyBorder="1" applyAlignment="1" applyProtection="1">
      <alignment horizontal="center" vertical="center"/>
    </xf>
    <xf numFmtId="177" fontId="102" fillId="4" borderId="26" xfId="0" applyNumberFormat="1" applyFont="1" applyFill="1" applyBorder="1" applyAlignment="1" applyProtection="1">
      <alignment horizontal="center" vertical="center"/>
    </xf>
    <xf numFmtId="177" fontId="102" fillId="4" borderId="27" xfId="0" applyNumberFormat="1" applyFont="1" applyFill="1" applyBorder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103" fillId="4" borderId="24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4" xfId="0" applyNumberFormat="1" applyFont="1" applyFill="1" applyBorder="1" applyAlignment="1" applyProtection="1">
      <alignment horizontal="center" vertical="center"/>
    </xf>
    <xf numFmtId="0" fontId="115" fillId="65" borderId="25" xfId="0" applyFont="1" applyFill="1" applyBorder="1" applyAlignment="1">
      <alignment horizontal="center" vertical="center" wrapText="1"/>
    </xf>
    <xf numFmtId="0" fontId="115" fillId="65" borderId="26" xfId="0" applyFont="1" applyFill="1" applyBorder="1" applyAlignment="1">
      <alignment horizontal="center" vertical="center" wrapText="1"/>
    </xf>
    <xf numFmtId="0" fontId="115" fillId="65" borderId="27" xfId="0" applyFont="1" applyFill="1" applyBorder="1" applyAlignment="1">
      <alignment horizontal="center" vertical="center" wrapText="1"/>
    </xf>
    <xf numFmtId="0" fontId="102" fillId="4" borderId="34" xfId="0" applyFont="1" applyFill="1" applyBorder="1" applyAlignment="1" applyProtection="1">
      <alignment horizontal="center" vertical="center" wrapText="1"/>
    </xf>
    <xf numFmtId="0" fontId="134" fillId="4" borderId="25" xfId="0" applyFont="1" applyFill="1" applyBorder="1" applyAlignment="1" applyProtection="1">
      <alignment horizontal="center" vertical="center" wrapText="1"/>
    </xf>
    <xf numFmtId="0" fontId="134" fillId="4" borderId="26" xfId="0" applyFont="1" applyFill="1" applyBorder="1" applyAlignment="1" applyProtection="1">
      <alignment horizontal="center" vertical="center" wrapText="1"/>
    </xf>
    <xf numFmtId="0" fontId="134" fillId="4" borderId="27" xfId="0" applyFont="1" applyFill="1" applyBorder="1" applyAlignment="1" applyProtection="1">
      <alignment horizontal="center" vertical="center" wrapText="1"/>
    </xf>
    <xf numFmtId="0" fontId="68" fillId="55" borderId="24" xfId="0" applyFont="1" applyFill="1" applyBorder="1" applyAlignment="1">
      <alignment horizontal="center" vertical="center" wrapText="1" shrinkToFit="1"/>
    </xf>
    <xf numFmtId="0" fontId="116" fillId="61" borderId="25" xfId="0" applyFont="1" applyFill="1" applyBorder="1" applyAlignment="1">
      <alignment horizontal="center" vertical="center" wrapText="1"/>
    </xf>
    <xf numFmtId="0" fontId="116" fillId="61" borderId="26" xfId="0" applyFont="1" applyFill="1" applyBorder="1" applyAlignment="1">
      <alignment horizontal="center" vertical="center" wrapText="1"/>
    </xf>
    <xf numFmtId="0" fontId="116" fillId="61" borderId="27" xfId="0" applyFont="1" applyFill="1" applyBorder="1" applyAlignment="1">
      <alignment horizontal="center" vertical="center" wrapText="1"/>
    </xf>
    <xf numFmtId="0" fontId="116" fillId="3" borderId="25" xfId="0" applyFont="1" applyFill="1" applyBorder="1" applyAlignment="1">
      <alignment horizontal="center" vertical="center" wrapText="1"/>
    </xf>
    <xf numFmtId="0" fontId="116" fillId="3" borderId="26" xfId="0" applyFont="1" applyFill="1" applyBorder="1" applyAlignment="1">
      <alignment horizontal="center" vertical="center" wrapText="1"/>
    </xf>
    <xf numFmtId="0" fontId="116" fillId="3" borderId="27" xfId="0" applyFont="1" applyFill="1" applyBorder="1" applyAlignment="1">
      <alignment horizontal="center" vertical="center" wrapText="1"/>
    </xf>
    <xf numFmtId="0" fontId="102" fillId="4" borderId="24" xfId="0" applyFont="1" applyFill="1" applyBorder="1" applyAlignment="1" applyProtection="1">
      <alignment horizontal="center" vertical="center"/>
    </xf>
    <xf numFmtId="177" fontId="102" fillId="4" borderId="24" xfId="0" applyNumberFormat="1" applyFont="1" applyFill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right" vertical="center"/>
    </xf>
    <xf numFmtId="0" fontId="105" fillId="0" borderId="0" xfId="0" applyFont="1" applyBorder="1" applyAlignment="1" applyProtection="1">
      <alignment horizontal="center" vertical="center" wrapText="1" shrinkToFit="1"/>
    </xf>
    <xf numFmtId="0" fontId="89" fillId="0" borderId="0" xfId="0" applyFont="1" applyBorder="1" applyAlignment="1" applyProtection="1">
      <alignment horizontal="left" vertical="center" shrinkToFit="1"/>
    </xf>
    <xf numFmtId="0" fontId="102" fillId="54" borderId="32" xfId="0" applyFont="1" applyFill="1" applyBorder="1" applyAlignment="1" applyProtection="1">
      <alignment horizontal="center" vertical="center" wrapText="1" shrinkToFit="1"/>
    </xf>
    <xf numFmtId="0" fontId="102" fillId="54" borderId="34" xfId="0" applyFont="1" applyFill="1" applyBorder="1" applyAlignment="1" applyProtection="1">
      <alignment horizontal="center" vertical="center" wrapText="1" shrinkToFit="1"/>
    </xf>
    <xf numFmtId="0" fontId="102" fillId="54" borderId="11" xfId="0" applyFont="1" applyFill="1" applyBorder="1" applyAlignment="1" applyProtection="1">
      <alignment horizontal="center" vertical="center" wrapText="1" shrinkToFit="1"/>
    </xf>
    <xf numFmtId="0" fontId="102" fillId="54" borderId="32" xfId="0" applyFont="1" applyFill="1" applyBorder="1" applyAlignment="1" applyProtection="1">
      <alignment horizontal="center" vertical="center" wrapText="1"/>
    </xf>
    <xf numFmtId="0" fontId="102" fillId="54" borderId="34" xfId="0" applyFont="1" applyFill="1" applyBorder="1" applyAlignment="1" applyProtection="1">
      <alignment horizontal="center" vertical="center" wrapText="1"/>
    </xf>
    <xf numFmtId="0" fontId="102" fillId="54" borderId="11" xfId="0" applyFont="1" applyFill="1" applyBorder="1" applyAlignment="1" applyProtection="1">
      <alignment horizontal="center" vertical="center" wrapText="1"/>
    </xf>
    <xf numFmtId="0" fontId="117" fillId="54" borderId="24" xfId="0" applyFont="1" applyFill="1" applyBorder="1" applyAlignment="1" applyProtection="1">
      <alignment horizontal="center" vertical="center"/>
    </xf>
    <xf numFmtId="0" fontId="103" fillId="4" borderId="2" xfId="0" applyFont="1" applyFill="1" applyBorder="1" applyAlignment="1" applyProtection="1">
      <alignment horizontal="center" vertical="center"/>
    </xf>
    <xf numFmtId="0" fontId="103" fillId="4" borderId="24" xfId="0" applyFont="1" applyFill="1" applyBorder="1" applyAlignment="1" applyProtection="1">
      <alignment horizontal="center" vertical="center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4" xfId="0" applyFont="1" applyFill="1" applyBorder="1" applyAlignment="1" applyProtection="1">
      <alignment horizontal="center" vertical="center"/>
    </xf>
    <xf numFmtId="177" fontId="117" fillId="54" borderId="24" xfId="0" applyNumberFormat="1" applyFont="1" applyFill="1" applyBorder="1" applyAlignment="1" applyProtection="1">
      <alignment horizontal="center" vertical="center" wrapText="1"/>
    </xf>
    <xf numFmtId="0" fontId="127" fillId="4" borderId="25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6" fillId="4" borderId="25" xfId="0" applyFont="1" applyFill="1" applyBorder="1" applyAlignment="1" applyProtection="1">
      <alignment horizontal="center" vertical="center" wrapText="1"/>
    </xf>
    <xf numFmtId="0" fontId="126" fillId="4" borderId="26" xfId="0" applyFont="1" applyFill="1" applyBorder="1" applyAlignment="1" applyProtection="1">
      <alignment horizontal="center" vertical="center" wrapText="1"/>
    </xf>
    <xf numFmtId="0" fontId="126" fillId="4" borderId="27" xfId="0" applyFont="1" applyFill="1" applyBorder="1" applyAlignment="1" applyProtection="1">
      <alignment horizontal="center" vertical="center" wrapText="1"/>
    </xf>
    <xf numFmtId="177" fontId="115" fillId="57" borderId="25" xfId="0" applyNumberFormat="1" applyFont="1" applyFill="1" applyBorder="1" applyAlignment="1" applyProtection="1">
      <alignment horizontal="center" vertical="center" wrapText="1"/>
    </xf>
    <xf numFmtId="177" fontId="115" fillId="57" borderId="26" xfId="0" applyNumberFormat="1" applyFont="1" applyFill="1" applyBorder="1" applyAlignment="1" applyProtection="1">
      <alignment horizontal="center" vertical="center"/>
    </xf>
    <xf numFmtId="177" fontId="115" fillId="57" borderId="27" xfId="0" applyNumberFormat="1" applyFont="1" applyFill="1" applyBorder="1" applyAlignment="1" applyProtection="1">
      <alignment horizontal="center" vertical="center"/>
    </xf>
    <xf numFmtId="177" fontId="115" fillId="61" borderId="25" xfId="0" applyNumberFormat="1" applyFont="1" applyFill="1" applyBorder="1" applyAlignment="1" applyProtection="1">
      <alignment horizontal="center" vertical="center" wrapText="1"/>
    </xf>
    <xf numFmtId="177" fontId="115" fillId="61" borderId="26" xfId="0" applyNumberFormat="1" applyFont="1" applyFill="1" applyBorder="1" applyAlignment="1" applyProtection="1">
      <alignment horizontal="center" vertical="center"/>
    </xf>
    <xf numFmtId="177" fontId="115" fillId="61" borderId="27" xfId="0" applyNumberFormat="1" applyFont="1" applyFill="1" applyBorder="1" applyAlignment="1" applyProtection="1">
      <alignment horizontal="center" vertical="center"/>
    </xf>
    <xf numFmtId="0" fontId="67" fillId="0" borderId="0" xfId="0" applyFont="1" applyBorder="1" applyAlignment="1" applyProtection="1">
      <alignment horizontal="left" vertical="center" shrinkToFit="1"/>
    </xf>
    <xf numFmtId="0" fontId="117" fillId="4" borderId="2" xfId="0" applyFont="1" applyFill="1" applyBorder="1" applyAlignment="1" applyProtection="1">
      <alignment horizontal="center" vertical="center"/>
    </xf>
    <xf numFmtId="0" fontId="115" fillId="61" borderId="25" xfId="0" applyFont="1" applyFill="1" applyBorder="1" applyAlignment="1" applyProtection="1">
      <alignment horizontal="center" vertical="center" wrapText="1"/>
    </xf>
    <xf numFmtId="0" fontId="115" fillId="61" borderId="26" xfId="0" applyFont="1" applyFill="1" applyBorder="1" applyAlignment="1" applyProtection="1">
      <alignment horizontal="center" vertical="center" wrapText="1"/>
    </xf>
    <xf numFmtId="0" fontId="115" fillId="61" borderId="27" xfId="0" applyFont="1" applyFill="1" applyBorder="1" applyAlignment="1" applyProtection="1">
      <alignment horizontal="center" vertical="center" wrapText="1"/>
    </xf>
    <xf numFmtId="0" fontId="115" fillId="57" borderId="25" xfId="0" applyFont="1" applyFill="1" applyBorder="1" applyAlignment="1" applyProtection="1">
      <alignment horizontal="center" vertical="center" wrapText="1"/>
    </xf>
    <xf numFmtId="0" fontId="115" fillId="57" borderId="26" xfId="0" applyFont="1" applyFill="1" applyBorder="1" applyAlignment="1" applyProtection="1">
      <alignment horizontal="center" vertical="center"/>
    </xf>
    <xf numFmtId="0" fontId="115" fillId="57" borderId="27" xfId="0" applyFont="1" applyFill="1" applyBorder="1" applyAlignment="1" applyProtection="1">
      <alignment horizontal="center" vertical="center"/>
    </xf>
    <xf numFmtId="0" fontId="102" fillId="54" borderId="32" xfId="0" applyFont="1" applyFill="1" applyBorder="1" applyAlignment="1" applyProtection="1">
      <alignment horizontal="center" vertical="center"/>
    </xf>
    <xf numFmtId="0" fontId="102" fillId="54" borderId="11" xfId="0" applyFont="1" applyFill="1" applyBorder="1" applyAlignment="1" applyProtection="1">
      <alignment horizontal="center" vertical="center"/>
    </xf>
    <xf numFmtId="0" fontId="68" fillId="55" borderId="24" xfId="0" applyFont="1" applyFill="1" applyBorder="1" applyAlignment="1" applyProtection="1">
      <alignment horizontal="center" vertical="center" shrinkToFit="1"/>
    </xf>
    <xf numFmtId="0" fontId="117" fillId="4" borderId="24" xfId="0" applyFont="1" applyFill="1" applyBorder="1" applyAlignment="1" applyProtection="1">
      <alignment horizontal="center" vertical="center"/>
    </xf>
    <xf numFmtId="0" fontId="117" fillId="54" borderId="24" xfId="0" applyFont="1" applyFill="1" applyBorder="1" applyAlignment="1" applyProtection="1">
      <alignment horizontal="center" vertical="center" wrapText="1"/>
    </xf>
    <xf numFmtId="0" fontId="102" fillId="4" borderId="37" xfId="0" applyFont="1" applyFill="1" applyBorder="1" applyAlignment="1" applyProtection="1">
      <alignment horizontal="center" vertical="center" wrapText="1"/>
    </xf>
    <xf numFmtId="0" fontId="102" fillId="4" borderId="43" xfId="0" applyFont="1" applyFill="1" applyBorder="1" applyAlignment="1" applyProtection="1">
      <alignment horizontal="center" vertical="center" wrapText="1"/>
    </xf>
    <xf numFmtId="0" fontId="112" fillId="0" borderId="41" xfId="0" applyFont="1" applyBorder="1" applyAlignment="1" applyProtection="1">
      <alignment horizontal="center" vertical="center"/>
    </xf>
    <xf numFmtId="0" fontId="148" fillId="9" borderId="114" xfId="2" applyFont="1" applyFill="1" applyBorder="1" applyAlignment="1">
      <alignment horizontal="center" vertical="center"/>
    </xf>
    <xf numFmtId="0" fontId="148" fillId="9" borderId="113" xfId="2" applyFont="1" applyFill="1" applyBorder="1" applyAlignment="1">
      <alignment horizontal="center" vertical="center"/>
    </xf>
    <xf numFmtId="0" fontId="148" fillId="9" borderId="112" xfId="2" applyFont="1" applyFill="1" applyBorder="1" applyAlignment="1">
      <alignment horizontal="center" vertical="center"/>
    </xf>
    <xf numFmtId="0" fontId="151" fillId="0" borderId="0" xfId="2" applyFont="1" applyFill="1" applyBorder="1" applyAlignment="1">
      <alignment horizontal="center" vertical="center"/>
    </xf>
    <xf numFmtId="0" fontId="148" fillId="9" borderId="53" xfId="2" applyFont="1" applyFill="1" applyBorder="1" applyAlignment="1">
      <alignment horizontal="center" vertical="center"/>
    </xf>
    <xf numFmtId="0" fontId="148" fillId="9" borderId="101" xfId="2" applyFont="1" applyFill="1" applyBorder="1" applyAlignment="1">
      <alignment horizontal="center" vertical="center"/>
    </xf>
    <xf numFmtId="0" fontId="148" fillId="9" borderId="90" xfId="2" applyFont="1" applyFill="1" applyBorder="1" applyAlignment="1">
      <alignment horizontal="center" vertical="center" wrapText="1"/>
    </xf>
    <xf numFmtId="0" fontId="148" fillId="9" borderId="34" xfId="2" applyFont="1" applyFill="1" applyBorder="1" applyAlignment="1">
      <alignment vertical="center"/>
    </xf>
    <xf numFmtId="0" fontId="148" fillId="9" borderId="104" xfId="2" applyFont="1" applyFill="1" applyBorder="1" applyAlignment="1">
      <alignment horizontal="center" vertical="center"/>
    </xf>
    <xf numFmtId="0" fontId="148" fillId="9" borderId="0" xfId="2" applyFont="1" applyFill="1" applyBorder="1" applyAlignment="1">
      <alignment vertical="center"/>
    </xf>
    <xf numFmtId="0" fontId="148" fillId="9" borderId="130" xfId="2" applyFont="1" applyFill="1" applyBorder="1" applyAlignment="1">
      <alignment horizontal="center" vertical="center"/>
    </xf>
    <xf numFmtId="0" fontId="148" fillId="9" borderId="121" xfId="2" applyFont="1" applyFill="1" applyBorder="1" applyAlignment="1">
      <alignment vertical="center"/>
    </xf>
    <xf numFmtId="0" fontId="148" fillId="9" borderId="47" xfId="2" applyFont="1" applyFill="1" applyBorder="1" applyAlignment="1">
      <alignment horizontal="center" vertical="center"/>
    </xf>
    <xf numFmtId="0" fontId="148" fillId="9" borderId="83" xfId="2" applyFont="1" applyFill="1" applyBorder="1" applyAlignment="1">
      <alignment vertical="center"/>
    </xf>
    <xf numFmtId="0" fontId="148" fillId="9" borderId="129" xfId="2" applyFont="1" applyFill="1" applyBorder="1" applyAlignment="1">
      <alignment horizontal="center" vertical="center"/>
    </xf>
    <xf numFmtId="0" fontId="148" fillId="9" borderId="120" xfId="2" applyFont="1" applyFill="1" applyBorder="1" applyAlignment="1">
      <alignment vertical="center"/>
    </xf>
    <xf numFmtId="0" fontId="148" fillId="9" borderId="103" xfId="2" applyFont="1" applyFill="1" applyBorder="1" applyAlignment="1">
      <alignment horizontal="center" vertical="center" wrapText="1"/>
    </xf>
    <xf numFmtId="0" fontId="148" fillId="9" borderId="156" xfId="2" applyFont="1" applyFill="1" applyBorder="1" applyAlignment="1">
      <alignment horizontal="center" vertical="center"/>
    </xf>
    <xf numFmtId="177" fontId="3" fillId="6" borderId="36" xfId="0" applyNumberFormat="1" applyFont="1" applyFill="1" applyBorder="1" applyAlignment="1">
      <alignment horizontal="center" vertical="center"/>
    </xf>
    <xf numFmtId="177" fontId="3" fillId="6" borderId="42" xfId="0" applyNumberFormat="1" applyFont="1" applyFill="1" applyBorder="1" applyAlignment="1">
      <alignment horizontal="center" vertical="center"/>
    </xf>
    <xf numFmtId="177" fontId="75" fillId="0" borderId="41" xfId="0" applyNumberFormat="1" applyFont="1" applyBorder="1" applyAlignment="1">
      <alignment horizontal="center" vertical="center"/>
    </xf>
    <xf numFmtId="177" fontId="144" fillId="0" borderId="41" xfId="0" applyNumberFormat="1" applyFont="1" applyBorder="1" applyAlignment="1">
      <alignment horizontal="center" vertical="center"/>
    </xf>
    <xf numFmtId="177" fontId="2" fillId="59" borderId="32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2" fillId="58" borderId="32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6" fillId="0" borderId="32" xfId="0" applyNumberFormat="1" applyFont="1" applyBorder="1" applyAlignment="1">
      <alignment horizontal="center" vertical="center"/>
    </xf>
    <xf numFmtId="177" fontId="76" fillId="0" borderId="34" xfId="0" applyNumberFormat="1" applyFont="1" applyBorder="1" applyAlignment="1">
      <alignment horizontal="center" vertical="center"/>
    </xf>
    <xf numFmtId="177" fontId="76" fillId="0" borderId="11" xfId="0" applyNumberFormat="1" applyFont="1" applyBorder="1" applyAlignment="1">
      <alignment horizontal="center" vertical="center"/>
    </xf>
    <xf numFmtId="177" fontId="76" fillId="0" borderId="32" xfId="0" applyNumberFormat="1" applyFont="1" applyFill="1" applyBorder="1" applyAlignment="1">
      <alignment horizontal="center" vertical="center"/>
    </xf>
    <xf numFmtId="177" fontId="76" fillId="0" borderId="11" xfId="0" applyNumberFormat="1" applyFont="1" applyFill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9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28;&#49688;&#51312;&#51221;%20&#49436;&#49885;/2026&#45380;&#46020;%20&#51228;2&#54924;%20&#52628;&#44221;%20&#49345;&#51076;&#50948;%20&#48143;%20&#50696;&#44208;&#50948;%20&#44228;&#49688;&#51312;&#51221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표지 (상임위)"/>
      <sheetName val="1. 총괄표(상임위)"/>
      <sheetName val="2. 표지 (예결위)"/>
      <sheetName val="2. 총괄표(예결위)"/>
      <sheetName val="3. 일입"/>
      <sheetName val="3. 일출(자체)"/>
      <sheetName val="3. 일출(의존)"/>
      <sheetName val="4. 특입"/>
      <sheetName val="4. 특출"/>
      <sheetName val="4-1. 공특입"/>
      <sheetName val="4-1. 공특출"/>
      <sheetName val="5. 기입"/>
      <sheetName val="5. 기출"/>
      <sheetName val="6. 계속비사업조서"/>
      <sheetName val="7. 검증"/>
      <sheetName val="구분표"/>
    </sheetNames>
    <sheetDataSet>
      <sheetData sheetId="0"/>
      <sheetData sheetId="1"/>
      <sheetData sheetId="2"/>
      <sheetData sheetId="3"/>
      <sheetData sheetId="4">
        <row r="8">
          <cell r="AN8"/>
        </row>
        <row r="9">
          <cell r="AN9" t="str">
            <v/>
          </cell>
        </row>
        <row r="10">
          <cell r="AN10" t="str">
            <v/>
          </cell>
        </row>
        <row r="11">
          <cell r="AN11" t="str">
            <v/>
          </cell>
        </row>
        <row r="12">
          <cell r="AN12" t="str">
            <v/>
          </cell>
        </row>
        <row r="13">
          <cell r="AN13" t="str">
            <v/>
          </cell>
        </row>
        <row r="14">
          <cell r="AN14" t="str">
            <v/>
          </cell>
        </row>
        <row r="15">
          <cell r="AN15" t="str">
            <v/>
          </cell>
        </row>
        <row r="16">
          <cell r="AN16" t="str">
            <v/>
          </cell>
        </row>
        <row r="17">
          <cell r="AN17" t="str">
            <v/>
          </cell>
        </row>
        <row r="18">
          <cell r="AN18" t="str">
            <v/>
          </cell>
        </row>
        <row r="19">
          <cell r="AN19" t="str">
            <v/>
          </cell>
        </row>
        <row r="20">
          <cell r="AN20" t="str">
            <v/>
          </cell>
        </row>
        <row r="21">
          <cell r="AN21" t="str">
            <v/>
          </cell>
        </row>
        <row r="22">
          <cell r="AN22" t="str">
            <v/>
          </cell>
        </row>
        <row r="23">
          <cell r="AN23" t="str">
            <v/>
          </cell>
        </row>
        <row r="24">
          <cell r="AN24" t="str">
            <v/>
          </cell>
        </row>
        <row r="25">
          <cell r="AN25"/>
        </row>
        <row r="26">
          <cell r="AN26" t="str">
            <v/>
          </cell>
        </row>
        <row r="27">
          <cell r="AN27" t="str">
            <v/>
          </cell>
        </row>
        <row r="28">
          <cell r="AN28" t="str">
            <v/>
          </cell>
        </row>
        <row r="29">
          <cell r="AN29" t="str">
            <v/>
          </cell>
        </row>
        <row r="30">
          <cell r="AN30" t="str">
            <v/>
          </cell>
        </row>
        <row r="31">
          <cell r="AN31" t="str">
            <v/>
          </cell>
        </row>
        <row r="32">
          <cell r="AN32" t="str">
            <v/>
          </cell>
        </row>
        <row r="33">
          <cell r="AN33" t="str">
            <v/>
          </cell>
        </row>
        <row r="34">
          <cell r="AN34" t="str">
            <v/>
          </cell>
        </row>
        <row r="35">
          <cell r="AN35" t="str">
            <v/>
          </cell>
        </row>
        <row r="36">
          <cell r="AN36" t="str">
            <v/>
          </cell>
        </row>
        <row r="37">
          <cell r="AN37" t="str">
            <v/>
          </cell>
        </row>
        <row r="38">
          <cell r="AN38" t="str">
            <v/>
          </cell>
        </row>
        <row r="39">
          <cell r="AN39" t="str">
            <v/>
          </cell>
        </row>
        <row r="40">
          <cell r="AN40" t="str">
            <v/>
          </cell>
        </row>
        <row r="41">
          <cell r="AN41" t="str">
            <v/>
          </cell>
        </row>
        <row r="42">
          <cell r="AN42"/>
        </row>
        <row r="43">
          <cell r="AN43" t="str">
            <v/>
          </cell>
        </row>
        <row r="44">
          <cell r="AN44" t="str">
            <v/>
          </cell>
        </row>
        <row r="45">
          <cell r="AN45" t="str">
            <v/>
          </cell>
        </row>
        <row r="46">
          <cell r="AN46" t="str">
            <v/>
          </cell>
        </row>
        <row r="47">
          <cell r="AN47" t="str">
            <v/>
          </cell>
        </row>
        <row r="48">
          <cell r="AN48" t="str">
            <v/>
          </cell>
        </row>
        <row r="49">
          <cell r="AN49" t="str">
            <v/>
          </cell>
        </row>
        <row r="50">
          <cell r="AN50" t="str">
            <v/>
          </cell>
        </row>
        <row r="51">
          <cell r="AN51" t="str">
            <v/>
          </cell>
        </row>
        <row r="52">
          <cell r="AN52" t="str">
            <v/>
          </cell>
        </row>
        <row r="53">
          <cell r="AN53" t="str">
            <v/>
          </cell>
        </row>
        <row r="54">
          <cell r="AN54" t="str">
            <v/>
          </cell>
        </row>
        <row r="55">
          <cell r="AN55" t="str">
            <v/>
          </cell>
        </row>
        <row r="56">
          <cell r="AN56" t="str">
            <v/>
          </cell>
        </row>
        <row r="57">
          <cell r="AN57" t="str">
            <v/>
          </cell>
        </row>
        <row r="58">
          <cell r="AN58" t="str">
            <v/>
          </cell>
        </row>
        <row r="59">
          <cell r="AN59"/>
        </row>
        <row r="60">
          <cell r="AN60" t="str">
            <v/>
          </cell>
        </row>
        <row r="61">
          <cell r="AN61" t="str">
            <v/>
          </cell>
        </row>
        <row r="62">
          <cell r="AN62" t="str">
            <v/>
          </cell>
        </row>
        <row r="63">
          <cell r="AN63" t="str">
            <v/>
          </cell>
        </row>
        <row r="64">
          <cell r="AN64" t="str">
            <v/>
          </cell>
        </row>
        <row r="65">
          <cell r="AN65" t="str">
            <v/>
          </cell>
        </row>
        <row r="66">
          <cell r="AN66" t="str">
            <v/>
          </cell>
        </row>
        <row r="67">
          <cell r="AN67" t="str">
            <v/>
          </cell>
        </row>
        <row r="68">
          <cell r="AN68" t="str">
            <v/>
          </cell>
        </row>
        <row r="69">
          <cell r="AN69" t="str">
            <v/>
          </cell>
        </row>
        <row r="70">
          <cell r="AN70" t="str">
            <v/>
          </cell>
        </row>
        <row r="71">
          <cell r="AN71" t="str">
            <v/>
          </cell>
        </row>
        <row r="72">
          <cell r="AN72" t="str">
            <v/>
          </cell>
        </row>
        <row r="73">
          <cell r="AN73" t="str">
            <v/>
          </cell>
        </row>
        <row r="74">
          <cell r="AN74" t="str">
            <v/>
          </cell>
        </row>
        <row r="75">
          <cell r="AN75" t="str">
            <v/>
          </cell>
        </row>
        <row r="76">
          <cell r="AN76"/>
        </row>
        <row r="77">
          <cell r="AN77" t="str">
            <v/>
          </cell>
        </row>
        <row r="78">
          <cell r="AN78" t="str">
            <v/>
          </cell>
        </row>
        <row r="79">
          <cell r="AN79" t="str">
            <v/>
          </cell>
        </row>
        <row r="80">
          <cell r="AN80" t="str">
            <v/>
          </cell>
        </row>
        <row r="81">
          <cell r="AN81" t="str">
            <v/>
          </cell>
        </row>
        <row r="82">
          <cell r="AN82" t="str">
            <v/>
          </cell>
        </row>
        <row r="83">
          <cell r="AN83" t="str">
            <v/>
          </cell>
        </row>
        <row r="84">
          <cell r="AN84" t="str">
            <v/>
          </cell>
        </row>
        <row r="85">
          <cell r="AN85" t="str">
            <v/>
          </cell>
        </row>
        <row r="86">
          <cell r="AN86" t="str">
            <v/>
          </cell>
        </row>
        <row r="87">
          <cell r="AN87" t="str">
            <v/>
          </cell>
        </row>
        <row r="88">
          <cell r="AN88" t="str">
            <v/>
          </cell>
        </row>
        <row r="89">
          <cell r="AN89" t="str">
            <v/>
          </cell>
        </row>
        <row r="90">
          <cell r="AN90" t="str">
            <v/>
          </cell>
        </row>
        <row r="91">
          <cell r="AN91" t="str">
            <v/>
          </cell>
        </row>
        <row r="92">
          <cell r="AN92" t="str">
            <v/>
          </cell>
        </row>
        <row r="93">
          <cell r="AN93"/>
        </row>
        <row r="94">
          <cell r="AN94" t="str">
            <v/>
          </cell>
        </row>
        <row r="95">
          <cell r="AN95" t="str">
            <v/>
          </cell>
        </row>
        <row r="96">
          <cell r="AN96" t="str">
            <v/>
          </cell>
        </row>
        <row r="97">
          <cell r="AN97" t="str">
            <v/>
          </cell>
        </row>
        <row r="98">
          <cell r="AN98" t="str">
            <v/>
          </cell>
        </row>
        <row r="99">
          <cell r="AN99" t="str">
            <v/>
          </cell>
        </row>
        <row r="100">
          <cell r="AN100" t="str">
            <v/>
          </cell>
        </row>
        <row r="101">
          <cell r="AN101" t="str">
            <v/>
          </cell>
        </row>
        <row r="102">
          <cell r="AN102" t="str">
            <v/>
          </cell>
        </row>
        <row r="103">
          <cell r="AN103" t="str">
            <v/>
          </cell>
        </row>
        <row r="104">
          <cell r="AN104" t="str">
            <v/>
          </cell>
        </row>
        <row r="105">
          <cell r="AN105" t="str">
            <v/>
          </cell>
        </row>
        <row r="106">
          <cell r="AN106" t="str">
            <v/>
          </cell>
        </row>
        <row r="107">
          <cell r="AN107" t="str">
            <v/>
          </cell>
        </row>
        <row r="108">
          <cell r="AN108" t="str">
            <v/>
          </cell>
        </row>
        <row r="109">
          <cell r="AN109" t="str">
            <v/>
          </cell>
        </row>
        <row r="110">
          <cell r="AN110"/>
        </row>
        <row r="111">
          <cell r="AN111" t="str">
            <v/>
          </cell>
        </row>
        <row r="112">
          <cell r="AN112" t="str">
            <v/>
          </cell>
        </row>
        <row r="113">
          <cell r="AN113" t="str">
            <v/>
          </cell>
        </row>
        <row r="114">
          <cell r="AN114" t="str">
            <v/>
          </cell>
        </row>
        <row r="115">
          <cell r="AN115" t="str">
            <v/>
          </cell>
        </row>
        <row r="116">
          <cell r="AN116" t="str">
            <v/>
          </cell>
        </row>
        <row r="117">
          <cell r="AN117" t="str">
            <v/>
          </cell>
        </row>
        <row r="118">
          <cell r="AN118" t="str">
            <v/>
          </cell>
        </row>
        <row r="119">
          <cell r="AN119" t="str">
            <v/>
          </cell>
        </row>
        <row r="120">
          <cell r="AN120" t="str">
            <v/>
          </cell>
        </row>
        <row r="121">
          <cell r="AN121" t="str">
            <v/>
          </cell>
        </row>
        <row r="122">
          <cell r="AN122" t="str">
            <v/>
          </cell>
        </row>
        <row r="123">
          <cell r="AN123" t="str">
            <v/>
          </cell>
        </row>
        <row r="124">
          <cell r="AN124" t="str">
            <v/>
          </cell>
        </row>
        <row r="125">
          <cell r="AN125" t="str">
            <v/>
          </cell>
        </row>
        <row r="126">
          <cell r="AN126" t="str">
            <v/>
          </cell>
        </row>
        <row r="127">
          <cell r="AN127"/>
        </row>
        <row r="128">
          <cell r="AN128" t="str">
            <v/>
          </cell>
        </row>
        <row r="129">
          <cell r="AN129" t="str">
            <v/>
          </cell>
        </row>
        <row r="130">
          <cell r="AN130" t="str">
            <v/>
          </cell>
        </row>
        <row r="131">
          <cell r="AN131" t="str">
            <v/>
          </cell>
        </row>
        <row r="132">
          <cell r="AN132" t="str">
            <v/>
          </cell>
        </row>
        <row r="133">
          <cell r="AN133" t="str">
            <v/>
          </cell>
        </row>
        <row r="134">
          <cell r="AN134" t="str">
            <v/>
          </cell>
        </row>
        <row r="135">
          <cell r="AN135" t="str">
            <v/>
          </cell>
        </row>
        <row r="136">
          <cell r="AN136" t="str">
            <v/>
          </cell>
        </row>
        <row r="137">
          <cell r="AN137" t="str">
            <v/>
          </cell>
        </row>
        <row r="138">
          <cell r="AN138" t="str">
            <v/>
          </cell>
        </row>
        <row r="139">
          <cell r="AN139" t="str">
            <v/>
          </cell>
        </row>
        <row r="140">
          <cell r="AN140" t="str">
            <v/>
          </cell>
        </row>
        <row r="141">
          <cell r="AN141" t="str">
            <v/>
          </cell>
        </row>
        <row r="142">
          <cell r="AN142" t="str">
            <v/>
          </cell>
        </row>
        <row r="143">
          <cell r="AN143" t="str">
            <v/>
          </cell>
        </row>
        <row r="144">
          <cell r="AN144"/>
        </row>
        <row r="145">
          <cell r="AN145" t="str">
            <v/>
          </cell>
        </row>
        <row r="146">
          <cell r="AN146" t="str">
            <v/>
          </cell>
        </row>
        <row r="147">
          <cell r="AN147" t="str">
            <v/>
          </cell>
        </row>
        <row r="148">
          <cell r="AN148" t="str">
            <v/>
          </cell>
        </row>
        <row r="149">
          <cell r="AN149" t="str">
            <v/>
          </cell>
        </row>
        <row r="150">
          <cell r="AN150" t="str">
            <v/>
          </cell>
        </row>
        <row r="151">
          <cell r="AN151" t="str">
            <v/>
          </cell>
        </row>
        <row r="152">
          <cell r="AN152" t="str">
            <v/>
          </cell>
        </row>
        <row r="153">
          <cell r="AN153" t="str">
            <v/>
          </cell>
        </row>
        <row r="154">
          <cell r="AN154" t="str">
            <v/>
          </cell>
        </row>
        <row r="155">
          <cell r="AN155" t="str">
            <v/>
          </cell>
        </row>
        <row r="156">
          <cell r="AN156" t="str">
            <v/>
          </cell>
        </row>
        <row r="157">
          <cell r="AN157" t="str">
            <v/>
          </cell>
        </row>
        <row r="158">
          <cell r="AN158" t="str">
            <v/>
          </cell>
        </row>
        <row r="159">
          <cell r="AN159" t="str">
            <v/>
          </cell>
        </row>
        <row r="160">
          <cell r="AN160" t="str">
            <v/>
          </cell>
        </row>
        <row r="161">
          <cell r="AN161"/>
        </row>
        <row r="162">
          <cell r="AN162" t="str">
            <v/>
          </cell>
        </row>
        <row r="163">
          <cell r="AN163" t="str">
            <v/>
          </cell>
        </row>
        <row r="164">
          <cell r="AN164" t="str">
            <v/>
          </cell>
        </row>
        <row r="165">
          <cell r="AN165" t="str">
            <v/>
          </cell>
        </row>
        <row r="166">
          <cell r="AN166" t="str">
            <v/>
          </cell>
        </row>
        <row r="167">
          <cell r="AN167" t="str">
            <v/>
          </cell>
        </row>
        <row r="168">
          <cell r="AN168" t="str">
            <v/>
          </cell>
        </row>
        <row r="169">
          <cell r="AN169" t="str">
            <v/>
          </cell>
        </row>
        <row r="170">
          <cell r="AN170" t="str">
            <v/>
          </cell>
        </row>
        <row r="171">
          <cell r="AN171" t="str">
            <v/>
          </cell>
        </row>
        <row r="172">
          <cell r="AN172" t="str">
            <v/>
          </cell>
        </row>
        <row r="173">
          <cell r="AN173" t="str">
            <v/>
          </cell>
        </row>
        <row r="174">
          <cell r="AN174" t="str">
            <v/>
          </cell>
        </row>
        <row r="175">
          <cell r="AN175" t="str">
            <v/>
          </cell>
        </row>
        <row r="176">
          <cell r="AN176" t="str">
            <v/>
          </cell>
        </row>
        <row r="177">
          <cell r="AN177" t="str">
            <v/>
          </cell>
        </row>
        <row r="178">
          <cell r="AN178"/>
        </row>
        <row r="179">
          <cell r="AN179" t="str">
            <v/>
          </cell>
        </row>
        <row r="180">
          <cell r="AN180" t="str">
            <v/>
          </cell>
        </row>
        <row r="181">
          <cell r="AN181" t="str">
            <v/>
          </cell>
        </row>
        <row r="182">
          <cell r="AN182" t="str">
            <v/>
          </cell>
        </row>
        <row r="183">
          <cell r="AN183" t="str">
            <v/>
          </cell>
        </row>
        <row r="184">
          <cell r="AN184" t="str">
            <v/>
          </cell>
        </row>
        <row r="185">
          <cell r="AN185" t="str">
            <v/>
          </cell>
        </row>
        <row r="186">
          <cell r="AN186" t="str">
            <v/>
          </cell>
        </row>
        <row r="187">
          <cell r="AN187" t="str">
            <v/>
          </cell>
        </row>
        <row r="188">
          <cell r="AN188" t="str">
            <v/>
          </cell>
        </row>
        <row r="189">
          <cell r="AN189" t="str">
            <v/>
          </cell>
        </row>
        <row r="190">
          <cell r="AN190" t="str">
            <v/>
          </cell>
        </row>
        <row r="191">
          <cell r="AN191" t="str">
            <v/>
          </cell>
        </row>
        <row r="192">
          <cell r="AN192" t="str">
            <v/>
          </cell>
        </row>
        <row r="193">
          <cell r="AN193" t="str">
            <v/>
          </cell>
        </row>
        <row r="194">
          <cell r="AN194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  <cell r="K3" t="str">
            <v>101-01</v>
          </cell>
          <cell r="L3" t="str">
            <v>인건비</v>
          </cell>
          <cell r="M3" t="str">
            <v>보수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  <cell r="K4" t="str">
            <v>101-02</v>
          </cell>
          <cell r="L4" t="str">
            <v>인건비</v>
          </cell>
          <cell r="M4" t="str">
            <v>기타직보수</v>
          </cell>
        </row>
        <row r="5">
          <cell r="A5" t="str">
            <v>정책홍보담당관</v>
          </cell>
          <cell r="B5" t="str">
            <v>의회운영위원회</v>
          </cell>
          <cell r="C5" t="str">
            <v>홍보기획관</v>
          </cell>
          <cell r="E5" t="str">
            <v>홍보기획관</v>
          </cell>
          <cell r="F5" t="str">
            <v>정책홍보담당관</v>
          </cell>
          <cell r="G5" t="str">
            <v>의회운영위원회</v>
          </cell>
          <cell r="I5" t="str">
            <v>10201</v>
          </cell>
          <cell r="K5" t="str">
            <v>101-03</v>
          </cell>
          <cell r="L5" t="str">
            <v>인건비</v>
          </cell>
          <cell r="M5" t="str">
            <v>공무직(무기계약)근로자보수</v>
          </cell>
        </row>
        <row r="6">
          <cell r="A6" t="str">
            <v>도민소통담당관</v>
          </cell>
          <cell r="B6" t="str">
            <v>의회운영위원회</v>
          </cell>
          <cell r="C6" t="str">
            <v>홍보기획관</v>
          </cell>
          <cell r="E6" t="str">
            <v>홍보기획관</v>
          </cell>
          <cell r="F6" t="str">
            <v>도민소통담당관</v>
          </cell>
          <cell r="G6" t="str">
            <v>의회운영위원회</v>
          </cell>
          <cell r="I6" t="str">
            <v>10202</v>
          </cell>
          <cell r="K6" t="str">
            <v>101-04</v>
          </cell>
          <cell r="L6" t="str">
            <v>인건비</v>
          </cell>
          <cell r="M6" t="str">
            <v>기간제근로자등보수</v>
          </cell>
        </row>
        <row r="7">
          <cell r="A7" t="str">
            <v>인권담당관</v>
          </cell>
          <cell r="B7" t="str">
            <v>안전행정위원회</v>
          </cell>
          <cell r="C7" t="str">
            <v>인권담당관</v>
          </cell>
          <cell r="E7" t="str">
            <v>인권담당관</v>
          </cell>
          <cell r="F7" t="str">
            <v>인권담당관</v>
          </cell>
          <cell r="G7" t="str">
            <v>안전행정위원회</v>
          </cell>
          <cell r="I7" t="str">
            <v>10301</v>
          </cell>
          <cell r="K7" t="str">
            <v>201-01</v>
          </cell>
          <cell r="L7" t="str">
            <v>일반운영비</v>
          </cell>
          <cell r="M7" t="str">
            <v>사무관리비</v>
          </cell>
        </row>
        <row r="8">
          <cell r="A8" t="str">
            <v>감사총괄과</v>
          </cell>
          <cell r="B8" t="str">
            <v>기획재정위원회</v>
          </cell>
          <cell r="C8" t="str">
            <v>경기도감사위원회</v>
          </cell>
          <cell r="E8" t="str">
            <v>경기도감사위원회</v>
          </cell>
          <cell r="F8" t="str">
            <v>감사총괄과</v>
          </cell>
          <cell r="G8" t="str">
            <v>기획재정위원회</v>
          </cell>
          <cell r="I8" t="str">
            <v>10401</v>
          </cell>
          <cell r="K8" t="str">
            <v>201-02</v>
          </cell>
          <cell r="L8" t="str">
            <v>일반운영비</v>
          </cell>
          <cell r="M8" t="str">
            <v>공공운영비</v>
          </cell>
        </row>
        <row r="9">
          <cell r="A9" t="str">
            <v>감사1과</v>
          </cell>
          <cell r="B9" t="str">
            <v>기획재정위원회</v>
          </cell>
          <cell r="C9" t="str">
            <v>경기도감사위원회</v>
          </cell>
          <cell r="E9" t="str">
            <v>경기도감사위원회</v>
          </cell>
          <cell r="F9" t="str">
            <v>감사1과</v>
          </cell>
          <cell r="G9" t="str">
            <v>기획재정위원회</v>
          </cell>
          <cell r="I9" t="str">
            <v>10402</v>
          </cell>
          <cell r="K9" t="str">
            <v>201-03</v>
          </cell>
          <cell r="L9" t="str">
            <v>일반운영비</v>
          </cell>
          <cell r="M9" t="str">
            <v>행사운영비</v>
          </cell>
        </row>
        <row r="10">
          <cell r="A10" t="str">
            <v>감사2과</v>
          </cell>
          <cell r="B10" t="str">
            <v>기획재정위원회</v>
          </cell>
          <cell r="C10" t="str">
            <v>경기도감사위원회</v>
          </cell>
          <cell r="E10" t="str">
            <v>경기도감사위원회</v>
          </cell>
          <cell r="F10" t="str">
            <v>감사2과</v>
          </cell>
          <cell r="G10" t="str">
            <v>기획재정위원회</v>
          </cell>
          <cell r="I10" t="str">
            <v>10403</v>
          </cell>
          <cell r="K10" t="str">
            <v>201-04</v>
          </cell>
          <cell r="L10" t="str">
            <v>일반운영비</v>
          </cell>
          <cell r="M10" t="str">
            <v>맞춤형복지제도시행경비</v>
          </cell>
        </row>
        <row r="11">
          <cell r="A11" t="str">
            <v>계약심사과</v>
          </cell>
          <cell r="B11" t="str">
            <v>기획재정위원회</v>
          </cell>
          <cell r="C11" t="str">
            <v>경기도감사위원회</v>
          </cell>
          <cell r="E11" t="str">
            <v>경기도감사위원회</v>
          </cell>
          <cell r="F11" t="str">
            <v>계약심사과</v>
          </cell>
          <cell r="G11" t="str">
            <v>기획재정위원회</v>
          </cell>
          <cell r="I11" t="str">
            <v>10404</v>
          </cell>
          <cell r="K11" t="str">
            <v>201-05</v>
          </cell>
          <cell r="L11" t="str">
            <v>일반운영비</v>
          </cell>
          <cell r="M11" t="str">
            <v>공립대학운영비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E12" t="str">
            <v>기획조정실</v>
          </cell>
          <cell r="F12" t="str">
            <v>기획담당관</v>
          </cell>
          <cell r="G12" t="str">
            <v>기획재정위원회</v>
          </cell>
          <cell r="I12" t="str">
            <v>10501</v>
          </cell>
          <cell r="K12" t="str">
            <v>202-01</v>
          </cell>
          <cell r="L12" t="str">
            <v>여비</v>
          </cell>
          <cell r="M12" t="str">
            <v>국내여비</v>
          </cell>
        </row>
        <row r="13">
          <cell r="A13" t="str">
            <v>기회전략담당관</v>
          </cell>
          <cell r="B13" t="str">
            <v>기획재정위원회</v>
          </cell>
          <cell r="C13" t="str">
            <v>기획조정실</v>
          </cell>
          <cell r="E13" t="str">
            <v>기획조정실</v>
          </cell>
          <cell r="F13" t="str">
            <v>기회전략담당관</v>
          </cell>
          <cell r="G13" t="str">
            <v>기획재정위원회</v>
          </cell>
          <cell r="I13" t="str">
            <v>10502</v>
          </cell>
          <cell r="K13" t="str">
            <v>202-02</v>
          </cell>
          <cell r="L13" t="str">
            <v>여비</v>
          </cell>
          <cell r="M13" t="str">
            <v>월액여비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E14" t="str">
            <v>기획조정실</v>
          </cell>
          <cell r="F14" t="str">
            <v>예산담당관</v>
          </cell>
          <cell r="G14" t="str">
            <v>기획재정위원회</v>
          </cell>
          <cell r="I14" t="str">
            <v>10503</v>
          </cell>
          <cell r="K14" t="str">
            <v>202-03</v>
          </cell>
          <cell r="L14" t="str">
            <v>여비</v>
          </cell>
          <cell r="M14" t="str">
            <v>국외업무여비</v>
          </cell>
        </row>
        <row r="15">
          <cell r="A15" t="str">
            <v>공공기관담당관</v>
          </cell>
          <cell r="B15" t="str">
            <v>기획재정위원회</v>
          </cell>
          <cell r="C15" t="str">
            <v>기획조정실</v>
          </cell>
          <cell r="E15" t="str">
            <v>기획조정실</v>
          </cell>
          <cell r="F15" t="str">
            <v>공공기관담당관</v>
          </cell>
          <cell r="G15" t="str">
            <v>기획재정위원회</v>
          </cell>
          <cell r="I15" t="str">
            <v>10504</v>
          </cell>
          <cell r="K15" t="str">
            <v>202-04</v>
          </cell>
          <cell r="L15" t="str">
            <v>여비</v>
          </cell>
          <cell r="M15" t="str">
            <v>국제화여비</v>
          </cell>
        </row>
        <row r="16">
          <cell r="A16" t="str">
            <v>인구정책담당관</v>
          </cell>
          <cell r="B16" t="str">
            <v>기획재정위원회</v>
          </cell>
          <cell r="C16" t="str">
            <v>기획조정실</v>
          </cell>
          <cell r="E16" t="str">
            <v>기획조정실</v>
          </cell>
          <cell r="F16" t="str">
            <v>인구정책담당관</v>
          </cell>
          <cell r="G16" t="str">
            <v>기획재정위원회</v>
          </cell>
          <cell r="I16" t="str">
            <v>10505</v>
          </cell>
          <cell r="K16" t="str">
            <v>202-05</v>
          </cell>
          <cell r="L16" t="str">
            <v>여비</v>
          </cell>
          <cell r="M16" t="str">
            <v>공무원 교육여비</v>
          </cell>
        </row>
        <row r="17">
          <cell r="A17" t="str">
            <v>법무담당관</v>
          </cell>
          <cell r="B17" t="str">
            <v>기획재정위원회</v>
          </cell>
          <cell r="C17" t="str">
            <v>기획조정실</v>
          </cell>
          <cell r="E17" t="str">
            <v>기획조정실</v>
          </cell>
          <cell r="F17" t="str">
            <v>법무담당관</v>
          </cell>
          <cell r="G17" t="str">
            <v>기획재정위원회</v>
          </cell>
          <cell r="I17" t="str">
            <v>10506</v>
          </cell>
          <cell r="K17" t="str">
            <v>203-01</v>
          </cell>
          <cell r="L17" t="str">
            <v>업무추진비</v>
          </cell>
          <cell r="M17" t="str">
            <v>기관운영업무추진비</v>
          </cell>
        </row>
        <row r="18">
          <cell r="A18" t="str">
            <v>행정심판담당관</v>
          </cell>
          <cell r="B18" t="str">
            <v>기획재정위원회</v>
          </cell>
          <cell r="C18" t="str">
            <v>기획조정실</v>
          </cell>
          <cell r="E18" t="str">
            <v>기획조정실</v>
          </cell>
          <cell r="F18" t="str">
            <v>행정심판담당관</v>
          </cell>
          <cell r="G18" t="str">
            <v>기획재정위원회</v>
          </cell>
          <cell r="I18" t="str">
            <v>10507</v>
          </cell>
          <cell r="K18" t="str">
            <v>203-02</v>
          </cell>
          <cell r="L18" t="str">
            <v>업무추진비</v>
          </cell>
          <cell r="M18" t="str">
            <v>정원가산업무추진비</v>
          </cell>
        </row>
        <row r="19">
          <cell r="A19" t="str">
            <v>안전기획과</v>
          </cell>
          <cell r="B19" t="str">
            <v>안전행정위원회</v>
          </cell>
          <cell r="C19" t="str">
            <v>안전관리실</v>
          </cell>
          <cell r="E19" t="str">
            <v>안전관리실</v>
          </cell>
          <cell r="F19" t="str">
            <v>안전기획과</v>
          </cell>
          <cell r="G19" t="str">
            <v>안전행정위원회</v>
          </cell>
          <cell r="I19" t="str">
            <v>10601</v>
          </cell>
          <cell r="K19" t="str">
            <v>203-03</v>
          </cell>
          <cell r="L19" t="str">
            <v>업무추진비</v>
          </cell>
          <cell r="M19" t="str">
            <v>시책추진업무추진비</v>
          </cell>
        </row>
        <row r="20">
          <cell r="A20" t="str">
            <v>사회재난과</v>
          </cell>
          <cell r="B20" t="str">
            <v>안전행정위원회</v>
          </cell>
          <cell r="C20" t="str">
            <v>안전관리실</v>
          </cell>
          <cell r="E20" t="str">
            <v>안전관리실</v>
          </cell>
          <cell r="F20" t="str">
            <v>사회재난과</v>
          </cell>
          <cell r="G20" t="str">
            <v>안전행정위원회</v>
          </cell>
          <cell r="I20" t="str">
            <v>10602</v>
          </cell>
          <cell r="K20" t="str">
            <v>203-04</v>
          </cell>
          <cell r="L20" t="str">
            <v>업무추진비</v>
          </cell>
          <cell r="M20" t="str">
            <v>부서운영업무추진비</v>
          </cell>
        </row>
        <row r="21">
          <cell r="A21" t="str">
            <v>자연재난과</v>
          </cell>
          <cell r="B21" t="str">
            <v>안전행정위원회</v>
          </cell>
          <cell r="C21" t="str">
            <v>안전관리실</v>
          </cell>
          <cell r="E21" t="str">
            <v>안전관리실</v>
          </cell>
          <cell r="F21" t="str">
            <v>자연재난과</v>
          </cell>
          <cell r="G21" t="str">
            <v>안전행정위원회</v>
          </cell>
          <cell r="I21" t="str">
            <v>10603</v>
          </cell>
          <cell r="K21" t="str">
            <v>204-01</v>
          </cell>
          <cell r="L21" t="str">
            <v>직무수행경비</v>
          </cell>
          <cell r="M21" t="str">
            <v>직책급업무수행경비</v>
          </cell>
        </row>
        <row r="22">
          <cell r="A22" t="str">
            <v>안전특별점검단</v>
          </cell>
          <cell r="B22" t="str">
            <v>안전행정위원회</v>
          </cell>
          <cell r="C22" t="str">
            <v>안전관리실</v>
          </cell>
          <cell r="E22" t="str">
            <v>안전관리실</v>
          </cell>
          <cell r="F22" t="str">
            <v>안전특별점검단</v>
          </cell>
          <cell r="G22" t="str">
            <v>안전행정위원회</v>
          </cell>
          <cell r="I22" t="str">
            <v>10604</v>
          </cell>
          <cell r="K22" t="str">
            <v>204-02</v>
          </cell>
          <cell r="L22" t="str">
            <v>직무수행경비</v>
          </cell>
          <cell r="M22" t="str">
            <v>특정업무경비</v>
          </cell>
        </row>
        <row r="23">
          <cell r="A23" t="str">
            <v>북부안전특별점검단</v>
          </cell>
          <cell r="B23" t="str">
            <v>안전행정위원회</v>
          </cell>
          <cell r="C23" t="str">
            <v>안전관리실</v>
          </cell>
          <cell r="E23" t="str">
            <v>안전관리실</v>
          </cell>
          <cell r="F23" t="str">
            <v>북부안전특별점검단</v>
          </cell>
          <cell r="G23" t="str">
            <v>안전행정위원회</v>
          </cell>
          <cell r="I23" t="str">
            <v>10605</v>
          </cell>
          <cell r="K23" t="str">
            <v>205-01</v>
          </cell>
          <cell r="L23" t="str">
            <v>의회비</v>
          </cell>
          <cell r="M23" t="str">
            <v>의정활동비</v>
          </cell>
        </row>
        <row r="24">
          <cell r="A24" t="str">
            <v>특별사법경찰단</v>
          </cell>
          <cell r="B24" t="str">
            <v>안전행정위원회</v>
          </cell>
          <cell r="C24" t="str">
            <v>안전관리실</v>
          </cell>
          <cell r="E24" t="str">
            <v>안전관리실</v>
          </cell>
          <cell r="F24" t="str">
            <v>특별사법경찰단</v>
          </cell>
          <cell r="G24" t="str">
            <v>안전행정위원회</v>
          </cell>
          <cell r="I24" t="str">
            <v>10606</v>
          </cell>
          <cell r="K24" t="str">
            <v>205-02</v>
          </cell>
          <cell r="L24" t="str">
            <v>의회비</v>
          </cell>
          <cell r="M24" t="str">
            <v>월정수당</v>
          </cell>
        </row>
        <row r="25">
          <cell r="A25" t="str">
            <v>지역정책과</v>
          </cell>
          <cell r="B25" t="str">
            <v>도시환경위원회</v>
          </cell>
          <cell r="C25" t="str">
            <v>도시주택실</v>
          </cell>
          <cell r="E25" t="str">
            <v>도시주택실</v>
          </cell>
          <cell r="F25" t="str">
            <v>지역정책과</v>
          </cell>
          <cell r="G25" t="str">
            <v>도시환경위원회</v>
          </cell>
          <cell r="I25" t="str">
            <v>10701</v>
          </cell>
          <cell r="K25" t="str">
            <v>205-03</v>
          </cell>
          <cell r="L25" t="str">
            <v>의회비</v>
          </cell>
          <cell r="M25" t="str">
            <v>의원국내여비</v>
          </cell>
        </row>
        <row r="26">
          <cell r="A26" t="str">
            <v>공간전략과</v>
          </cell>
          <cell r="B26" t="str">
            <v>도시환경위원회</v>
          </cell>
          <cell r="C26" t="str">
            <v>도시주택실</v>
          </cell>
          <cell r="E26" t="str">
            <v>도시주택실</v>
          </cell>
          <cell r="F26" t="str">
            <v>공간전략과</v>
          </cell>
          <cell r="G26" t="str">
            <v>도시환경위원회</v>
          </cell>
          <cell r="I26" t="str">
            <v>10702</v>
          </cell>
          <cell r="K26" t="str">
            <v>205-04</v>
          </cell>
          <cell r="L26" t="str">
            <v>의회비</v>
          </cell>
          <cell r="M26" t="str">
            <v>의원국외여비</v>
          </cell>
        </row>
        <row r="27">
          <cell r="A27" t="str">
            <v>도시정책과</v>
          </cell>
          <cell r="B27" t="str">
            <v>도시환경위원회</v>
          </cell>
          <cell r="C27" t="str">
            <v>도시주택실</v>
          </cell>
          <cell r="E27" t="str">
            <v>도시주택실</v>
          </cell>
          <cell r="F27" t="str">
            <v>도시정책과</v>
          </cell>
          <cell r="G27" t="str">
            <v>도시환경위원회</v>
          </cell>
          <cell r="I27" t="str">
            <v>10703</v>
          </cell>
          <cell r="K27" t="str">
            <v>205-05</v>
          </cell>
          <cell r="L27" t="str">
            <v>의회비</v>
          </cell>
          <cell r="M27" t="str">
            <v>의정운영공통경비</v>
          </cell>
        </row>
        <row r="28">
          <cell r="A28" t="str">
            <v>토지정보과</v>
          </cell>
          <cell r="B28" t="str">
            <v>도시환경위원회</v>
          </cell>
          <cell r="C28" t="str">
            <v>도시주택실</v>
          </cell>
          <cell r="E28" t="str">
            <v>도시주택실</v>
          </cell>
          <cell r="F28" t="str">
            <v>토지정보과</v>
          </cell>
          <cell r="G28" t="str">
            <v>도시환경위원회</v>
          </cell>
          <cell r="I28" t="str">
            <v>10704</v>
          </cell>
          <cell r="K28" t="str">
            <v>205-06</v>
          </cell>
          <cell r="L28" t="str">
            <v>의회비</v>
          </cell>
          <cell r="M28" t="str">
            <v>의회운영업무추진비</v>
          </cell>
        </row>
        <row r="29">
          <cell r="A29" t="str">
            <v>주택정책과</v>
          </cell>
          <cell r="B29" t="str">
            <v>도시환경위원회</v>
          </cell>
          <cell r="C29" t="str">
            <v>도시주택실</v>
          </cell>
          <cell r="E29" t="str">
            <v>도시주택실</v>
          </cell>
          <cell r="F29" t="str">
            <v>주택정책과</v>
          </cell>
          <cell r="G29" t="str">
            <v>도시환경위원회</v>
          </cell>
          <cell r="I29" t="str">
            <v>10705</v>
          </cell>
          <cell r="K29" t="str">
            <v>205-07</v>
          </cell>
          <cell r="L29" t="str">
            <v>의회비</v>
          </cell>
          <cell r="M29" t="str">
            <v>의원역량개발비(공공위탁,자체교육)</v>
          </cell>
        </row>
        <row r="30">
          <cell r="A30" t="str">
            <v>건축정책과</v>
          </cell>
          <cell r="B30" t="str">
            <v>도시환경위원회</v>
          </cell>
          <cell r="C30" t="str">
            <v>도시주택실</v>
          </cell>
          <cell r="E30" t="str">
            <v>도시주택실</v>
          </cell>
          <cell r="F30" t="str">
            <v>건축정책과</v>
          </cell>
          <cell r="G30" t="str">
            <v>도시환경위원회</v>
          </cell>
          <cell r="I30" t="str">
            <v>10706</v>
          </cell>
          <cell r="K30" t="str">
            <v>205-08</v>
          </cell>
          <cell r="L30" t="str">
            <v>의회비</v>
          </cell>
          <cell r="M30" t="str">
            <v>의원역량개발비(민간위탁)</v>
          </cell>
        </row>
        <row r="31">
          <cell r="A31" t="str">
            <v>공동주택과</v>
          </cell>
          <cell r="B31" t="str">
            <v>도시환경위원회</v>
          </cell>
          <cell r="C31" t="str">
            <v>도시주택실</v>
          </cell>
          <cell r="E31" t="str">
            <v>도시주택실</v>
          </cell>
          <cell r="F31" t="str">
            <v>공동주택과</v>
          </cell>
          <cell r="G31" t="str">
            <v>도시환경위원회</v>
          </cell>
          <cell r="I31" t="str">
            <v>10707</v>
          </cell>
          <cell r="K31" t="str">
            <v>205-09</v>
          </cell>
          <cell r="L31" t="str">
            <v>의회비</v>
          </cell>
          <cell r="M31" t="str">
            <v>의원정책개발비</v>
          </cell>
        </row>
        <row r="32">
          <cell r="A32" t="str">
            <v>도시재생과</v>
          </cell>
          <cell r="B32" t="str">
            <v>도시환경위원회</v>
          </cell>
          <cell r="C32" t="str">
            <v>도시주택실</v>
          </cell>
          <cell r="E32" t="str">
            <v>도시주택실</v>
          </cell>
          <cell r="F32" t="str">
            <v>도시재생과</v>
          </cell>
          <cell r="G32" t="str">
            <v>도시환경위원회</v>
          </cell>
          <cell r="I32" t="str">
            <v>10708</v>
          </cell>
          <cell r="K32" t="str">
            <v>205-10</v>
          </cell>
          <cell r="L32" t="str">
            <v>의회비</v>
          </cell>
          <cell r="M32" t="str">
            <v>의장협의체부담금</v>
          </cell>
        </row>
        <row r="33">
          <cell r="A33" t="str">
            <v>노후신도시정비과</v>
          </cell>
          <cell r="B33" t="str">
            <v>도시환경위원회</v>
          </cell>
          <cell r="C33" t="str">
            <v>도시개발국</v>
          </cell>
          <cell r="E33" t="str">
            <v>도시개발국</v>
          </cell>
          <cell r="F33" t="str">
            <v>노후신도시정비과</v>
          </cell>
          <cell r="G33" t="str">
            <v>도시환경위원회</v>
          </cell>
          <cell r="I33" t="str">
            <v>10709</v>
          </cell>
          <cell r="K33" t="str">
            <v>205-11</v>
          </cell>
          <cell r="L33" t="str">
            <v>의회비</v>
          </cell>
          <cell r="M33" t="str">
            <v>의원국민연금부담금</v>
          </cell>
        </row>
        <row r="34">
          <cell r="A34" t="str">
            <v>택지개발과</v>
          </cell>
          <cell r="B34" t="str">
            <v>도시환경위원회</v>
          </cell>
          <cell r="C34" t="str">
            <v>도시개발국</v>
          </cell>
          <cell r="E34" t="str">
            <v>도시개발국</v>
          </cell>
          <cell r="F34" t="str">
            <v>택지개발과</v>
          </cell>
          <cell r="G34" t="str">
            <v>도시환경위원회</v>
          </cell>
          <cell r="I34" t="str">
            <v>10710</v>
          </cell>
          <cell r="K34" t="str">
            <v>205-12</v>
          </cell>
          <cell r="L34" t="str">
            <v>의회비</v>
          </cell>
          <cell r="M34" t="str">
            <v>의원국민건강부담금</v>
          </cell>
        </row>
        <row r="35">
          <cell r="A35" t="str">
            <v>신도시기획과</v>
          </cell>
          <cell r="B35" t="str">
            <v>도시환경위원회</v>
          </cell>
          <cell r="C35" t="str">
            <v>도시개발국</v>
          </cell>
          <cell r="E35" t="str">
            <v>도시개발국</v>
          </cell>
          <cell r="F35" t="str">
            <v>신도시기획과</v>
          </cell>
          <cell r="G35" t="str">
            <v>도시환경위원회</v>
          </cell>
          <cell r="I35" t="str">
            <v>10711</v>
          </cell>
          <cell r="K35"/>
          <cell r="L35"/>
          <cell r="M35"/>
        </row>
        <row r="36">
          <cell r="A36" t="str">
            <v>자산개발과</v>
          </cell>
          <cell r="B36" t="str">
            <v>도시환경위원회</v>
          </cell>
          <cell r="C36" t="str">
            <v>도시개발국</v>
          </cell>
          <cell r="E36" t="str">
            <v>도시개발국</v>
          </cell>
          <cell r="F36" t="str">
            <v>자산개발과</v>
          </cell>
          <cell r="G36" t="str">
            <v>도시환경위원회</v>
          </cell>
          <cell r="I36">
            <v>10712</v>
          </cell>
          <cell r="K36" t="str">
            <v>206-01</v>
          </cell>
          <cell r="L36" t="str">
            <v>재료비</v>
          </cell>
          <cell r="M36" t="str">
            <v>재료비</v>
          </cell>
        </row>
        <row r="37">
          <cell r="A37" t="str">
            <v>총무과</v>
          </cell>
          <cell r="B37" t="str">
            <v>안전행정위원회</v>
          </cell>
          <cell r="C37" t="str">
            <v>자치행정국</v>
          </cell>
          <cell r="E37" t="str">
            <v>자치행정국</v>
          </cell>
          <cell r="F37" t="str">
            <v>총무과</v>
          </cell>
          <cell r="G37" t="str">
            <v>안전행정위원회</v>
          </cell>
          <cell r="I37" t="str">
            <v>10801</v>
          </cell>
          <cell r="K37" t="str">
            <v>207-01</v>
          </cell>
          <cell r="L37" t="str">
            <v>연구개발비</v>
          </cell>
          <cell r="M37" t="str">
            <v>연구용역비</v>
          </cell>
        </row>
        <row r="38">
          <cell r="A38" t="str">
            <v>자치행정과</v>
          </cell>
          <cell r="B38" t="str">
            <v>안전행정위원회</v>
          </cell>
          <cell r="C38" t="str">
            <v>자치행정국</v>
          </cell>
          <cell r="E38" t="str">
            <v>자치행정국</v>
          </cell>
          <cell r="F38" t="str">
            <v>자치행정과</v>
          </cell>
          <cell r="G38" t="str">
            <v>안전행정위원회</v>
          </cell>
          <cell r="I38" t="str">
            <v>10802</v>
          </cell>
          <cell r="K38" t="str">
            <v>207-02</v>
          </cell>
          <cell r="L38" t="str">
            <v>연구개발비</v>
          </cell>
          <cell r="M38" t="str">
            <v>전산개발비</v>
          </cell>
        </row>
        <row r="39">
          <cell r="A39" t="str">
            <v>인사과</v>
          </cell>
          <cell r="B39" t="str">
            <v>안전행정위원회</v>
          </cell>
          <cell r="C39" t="str">
            <v>자치행정국</v>
          </cell>
          <cell r="E39" t="str">
            <v>자치행정국</v>
          </cell>
          <cell r="F39" t="str">
            <v>인사과</v>
          </cell>
          <cell r="G39" t="str">
            <v>안전행정위원회</v>
          </cell>
          <cell r="I39" t="str">
            <v>10803</v>
          </cell>
          <cell r="K39" t="str">
            <v>207-03</v>
          </cell>
          <cell r="L39" t="str">
            <v>연구개발비</v>
          </cell>
          <cell r="M39" t="str">
            <v>시험연구비</v>
          </cell>
        </row>
        <row r="40">
          <cell r="A40" t="str">
            <v>열린민원실</v>
          </cell>
          <cell r="B40" t="str">
            <v>안전행정위원회</v>
          </cell>
          <cell r="C40" t="str">
            <v>자치행정국</v>
          </cell>
          <cell r="E40" t="str">
            <v>자치행정국</v>
          </cell>
          <cell r="F40" t="str">
            <v>열린민원실</v>
          </cell>
          <cell r="G40" t="str">
            <v>안전행정위원회</v>
          </cell>
          <cell r="I40" t="str">
            <v>10804</v>
          </cell>
          <cell r="K40" t="str">
            <v>301-01</v>
          </cell>
          <cell r="L40" t="str">
            <v>일반보전금</v>
          </cell>
          <cell r="M40" t="str">
            <v>사회보장적수혜금(국고보조재원)</v>
          </cell>
        </row>
        <row r="41">
          <cell r="A41" t="str">
            <v>세정과</v>
          </cell>
          <cell r="B41" t="str">
            <v>안전행정위원회</v>
          </cell>
          <cell r="C41" t="str">
            <v>자치행정국</v>
          </cell>
          <cell r="E41" t="str">
            <v>자치행정국</v>
          </cell>
          <cell r="F41" t="str">
            <v>세정과</v>
          </cell>
          <cell r="G41" t="str">
            <v>안전행정위원회</v>
          </cell>
          <cell r="I41" t="str">
            <v>10805</v>
          </cell>
          <cell r="K41" t="str">
            <v>301-02</v>
          </cell>
          <cell r="L41" t="str">
            <v>일반보전금</v>
          </cell>
          <cell r="M41" t="str">
            <v>사회보장적수혜금(취약계층,지방재원)</v>
          </cell>
        </row>
        <row r="42">
          <cell r="A42" t="str">
            <v>조세정의과</v>
          </cell>
          <cell r="B42" t="str">
            <v>안전행정위원회</v>
          </cell>
          <cell r="C42" t="str">
            <v>자치행정국</v>
          </cell>
          <cell r="E42" t="str">
            <v>자치행정국</v>
          </cell>
          <cell r="F42" t="str">
            <v>조세정의과</v>
          </cell>
          <cell r="G42" t="str">
            <v>안전행정위원회</v>
          </cell>
          <cell r="I42" t="str">
            <v>10806</v>
          </cell>
          <cell r="K42" t="str">
            <v>301-03</v>
          </cell>
          <cell r="L42" t="str">
            <v>일반보전금</v>
          </cell>
          <cell r="M42" t="str">
            <v>사회보장적수혜금(지방재원)</v>
          </cell>
        </row>
        <row r="43">
          <cell r="A43" t="str">
            <v>회계과</v>
          </cell>
          <cell r="B43" t="str">
            <v>안전행정위원회</v>
          </cell>
          <cell r="C43" t="str">
            <v>자치행정국</v>
          </cell>
          <cell r="E43" t="str">
            <v>자치행정국</v>
          </cell>
          <cell r="F43" t="str">
            <v>회계과</v>
          </cell>
          <cell r="G43" t="str">
            <v>안전행정위원회</v>
          </cell>
          <cell r="I43" t="str">
            <v>10807</v>
          </cell>
          <cell r="K43" t="str">
            <v>301-04</v>
          </cell>
          <cell r="L43" t="str">
            <v>일반보전금</v>
          </cell>
          <cell r="M43" t="str">
            <v>장학금및학자금</v>
          </cell>
        </row>
        <row r="44">
          <cell r="A44" t="str">
            <v>자산관리과</v>
          </cell>
          <cell r="B44" t="str">
            <v>안전행정위원회</v>
          </cell>
          <cell r="C44" t="str">
            <v>자치행정국</v>
          </cell>
          <cell r="E44" t="str">
            <v>자치행정국</v>
          </cell>
          <cell r="F44" t="str">
            <v>자산관리과</v>
          </cell>
          <cell r="G44" t="str">
            <v>안전행정위원회</v>
          </cell>
          <cell r="I44" t="str">
            <v>10808</v>
          </cell>
          <cell r="K44" t="str">
            <v>301-05</v>
          </cell>
          <cell r="L44" t="str">
            <v>일반보전금</v>
          </cell>
          <cell r="M44" t="str">
            <v>의용소방대지원경비</v>
          </cell>
        </row>
        <row r="45">
          <cell r="A45" t="str">
            <v>복지정책과</v>
          </cell>
          <cell r="B45" t="str">
            <v>보건복지위원회</v>
          </cell>
          <cell r="C45" t="str">
            <v>복지국</v>
          </cell>
          <cell r="E45" t="str">
            <v>복지국</v>
          </cell>
          <cell r="F45" t="str">
            <v>복지정책과</v>
          </cell>
          <cell r="G45" t="str">
            <v>보건복지위원회</v>
          </cell>
          <cell r="I45" t="str">
            <v>10901</v>
          </cell>
          <cell r="K45" t="str">
            <v>301-06</v>
          </cell>
          <cell r="L45" t="str">
            <v>일반보전금</v>
          </cell>
          <cell r="M45" t="str">
            <v>자율방범대실비지원</v>
          </cell>
        </row>
        <row r="46">
          <cell r="A46" t="str">
            <v>복지사업과</v>
          </cell>
          <cell r="B46" t="str">
            <v>보건복지위원회</v>
          </cell>
          <cell r="C46" t="str">
            <v>복지국</v>
          </cell>
          <cell r="E46" t="str">
            <v>복지국</v>
          </cell>
          <cell r="F46" t="str">
            <v>복지사업과</v>
          </cell>
          <cell r="G46" t="str">
            <v>보건복지위원회</v>
          </cell>
          <cell r="I46" t="str">
            <v>10902</v>
          </cell>
          <cell r="K46" t="str">
            <v>301-07</v>
          </cell>
          <cell r="L46" t="str">
            <v>일반보전금</v>
          </cell>
          <cell r="M46" t="str">
            <v>통장·이장·반장활동보상금</v>
          </cell>
        </row>
        <row r="47">
          <cell r="A47" t="str">
            <v>노인복지과</v>
          </cell>
          <cell r="B47" t="str">
            <v>보건복지위원회</v>
          </cell>
          <cell r="C47" t="str">
            <v>복지국</v>
          </cell>
          <cell r="E47" t="str">
            <v>복지국</v>
          </cell>
          <cell r="F47" t="str">
            <v>노인복지과</v>
          </cell>
          <cell r="G47" t="str">
            <v>보건복지위원회</v>
          </cell>
          <cell r="I47" t="str">
            <v>10903</v>
          </cell>
          <cell r="K47" t="str">
            <v>301-08</v>
          </cell>
          <cell r="L47" t="str">
            <v>일반보전금</v>
          </cell>
          <cell r="M47" t="str">
            <v>민간인국외여비</v>
          </cell>
        </row>
        <row r="48">
          <cell r="A48" t="str">
            <v>장애인복지과</v>
          </cell>
          <cell r="B48" t="str">
            <v>보건복지위원회</v>
          </cell>
          <cell r="C48" t="str">
            <v>복지국</v>
          </cell>
          <cell r="E48" t="str">
            <v>복지국</v>
          </cell>
          <cell r="F48" t="str">
            <v>장애인복지과</v>
          </cell>
          <cell r="G48" t="str">
            <v>보건복지위원회</v>
          </cell>
          <cell r="I48" t="str">
            <v>10904</v>
          </cell>
          <cell r="K48" t="str">
            <v>301-09</v>
          </cell>
          <cell r="L48" t="str">
            <v>일반보전금</v>
          </cell>
          <cell r="M48" t="str">
            <v>외빈초청여비</v>
          </cell>
        </row>
        <row r="49">
          <cell r="A49" t="str">
            <v>장애인자립지원과</v>
          </cell>
          <cell r="B49" t="str">
            <v>보건복지위원회</v>
          </cell>
          <cell r="C49" t="str">
            <v>복지국</v>
          </cell>
          <cell r="E49" t="str">
            <v>복지국</v>
          </cell>
          <cell r="F49" t="str">
            <v>장애인자립지원과</v>
          </cell>
          <cell r="G49" t="str">
            <v>보건복지위원회</v>
          </cell>
          <cell r="I49" t="str">
            <v>10905</v>
          </cell>
          <cell r="K49" t="str">
            <v>301-10</v>
          </cell>
          <cell r="L49" t="str">
            <v>일반보전금</v>
          </cell>
          <cell r="M49" t="str">
            <v>사회복무요원보상금</v>
          </cell>
        </row>
        <row r="50">
          <cell r="A50" t="str">
            <v>감염병관리과</v>
          </cell>
          <cell r="B50" t="str">
            <v>보건복지위원회</v>
          </cell>
          <cell r="C50" t="str">
            <v>보건건강국</v>
          </cell>
          <cell r="E50" t="str">
            <v>보건건강국</v>
          </cell>
          <cell r="F50" t="str">
            <v>감염병관리과</v>
          </cell>
          <cell r="G50" t="str">
            <v>보건복지위원회</v>
          </cell>
          <cell r="I50" t="str">
            <v>11001</v>
          </cell>
          <cell r="K50" t="str">
            <v>301-11</v>
          </cell>
          <cell r="L50" t="str">
            <v>일반보전금</v>
          </cell>
          <cell r="M50" t="str">
            <v>행사실비지원금</v>
          </cell>
        </row>
        <row r="51">
          <cell r="A51" t="str">
            <v>보건의료정책과</v>
          </cell>
          <cell r="B51" t="str">
            <v>보건복지위원회</v>
          </cell>
          <cell r="C51" t="str">
            <v>보건건강국</v>
          </cell>
          <cell r="E51" t="str">
            <v>보건건강국</v>
          </cell>
          <cell r="F51" t="str">
            <v>보건의료정책과</v>
          </cell>
          <cell r="G51" t="str">
            <v>보건복지위원회</v>
          </cell>
          <cell r="I51" t="str">
            <v>11002</v>
          </cell>
          <cell r="K51" t="str">
            <v>301-12</v>
          </cell>
          <cell r="L51" t="str">
            <v>일반보전금</v>
          </cell>
          <cell r="M51" t="str">
            <v>예술단원·운동부등보상금</v>
          </cell>
        </row>
        <row r="52">
          <cell r="A52" t="str">
            <v>의료자원과</v>
          </cell>
          <cell r="B52" t="str">
            <v>보건복지위원회</v>
          </cell>
          <cell r="C52" t="str">
            <v>보건건강국</v>
          </cell>
          <cell r="E52" t="str">
            <v>보건건강국</v>
          </cell>
          <cell r="F52" t="str">
            <v>의료자원과</v>
          </cell>
          <cell r="G52" t="str">
            <v>보건복지위원회</v>
          </cell>
          <cell r="I52" t="str">
            <v>11003</v>
          </cell>
          <cell r="K52" t="str">
            <v>301-13</v>
          </cell>
          <cell r="L52" t="str">
            <v>일반보전금</v>
          </cell>
          <cell r="M52" t="str">
            <v>사회성과보상금</v>
          </cell>
        </row>
        <row r="53">
          <cell r="A53" t="str">
            <v>건강증진과</v>
          </cell>
          <cell r="B53" t="str">
            <v>보건복지위원회</v>
          </cell>
          <cell r="C53" t="str">
            <v>보건건강국</v>
          </cell>
          <cell r="E53" t="str">
            <v>보건건강국</v>
          </cell>
          <cell r="F53" t="str">
            <v>건강증진과</v>
          </cell>
          <cell r="G53" t="str">
            <v>보건복지위원회</v>
          </cell>
          <cell r="I53" t="str">
            <v>11004</v>
          </cell>
          <cell r="K53" t="str">
            <v>301-14</v>
          </cell>
          <cell r="L53" t="str">
            <v>일반보전금</v>
          </cell>
          <cell r="M53" t="str">
            <v>기타보상금</v>
          </cell>
        </row>
        <row r="54">
          <cell r="A54" t="str">
            <v>응급의료과</v>
          </cell>
          <cell r="B54" t="str">
            <v>보건복지위원회</v>
          </cell>
          <cell r="C54" t="str">
            <v>보건건강국</v>
          </cell>
          <cell r="E54" t="str">
            <v>보건건강국</v>
          </cell>
          <cell r="F54" t="str">
            <v>응급의료과</v>
          </cell>
          <cell r="G54" t="str">
            <v>보건복지위원회</v>
          </cell>
          <cell r="I54" t="str">
            <v>11005</v>
          </cell>
          <cell r="K54" t="str">
            <v>302-01</v>
          </cell>
          <cell r="L54" t="str">
            <v>이주 및 재해 보상금</v>
          </cell>
          <cell r="M54" t="str">
            <v>민간인이주보상금</v>
          </cell>
        </row>
        <row r="55">
          <cell r="A55" t="str">
            <v>정신건강과</v>
          </cell>
          <cell r="B55" t="str">
            <v>보건복지위원회</v>
          </cell>
          <cell r="C55" t="str">
            <v>보건건강국</v>
          </cell>
          <cell r="E55" t="str">
            <v>보건건강국</v>
          </cell>
          <cell r="F55" t="str">
            <v>정신건강과</v>
          </cell>
          <cell r="G55" t="str">
            <v>보건복지위원회</v>
          </cell>
          <cell r="I55" t="str">
            <v>11006</v>
          </cell>
          <cell r="K55" t="str">
            <v>302-02</v>
          </cell>
          <cell r="L55" t="str">
            <v>이주 및 재해 보상금</v>
          </cell>
          <cell r="M55" t="str">
            <v>민간인재해및복구활동보상금</v>
          </cell>
        </row>
        <row r="56">
          <cell r="A56" t="str">
            <v>식품안전과</v>
          </cell>
          <cell r="B56" t="str">
            <v>보건복지위원회</v>
          </cell>
          <cell r="C56" t="str">
            <v>보건건강국</v>
          </cell>
          <cell r="E56" t="str">
            <v>보건건강국</v>
          </cell>
          <cell r="F56" t="str">
            <v>식품안전과</v>
          </cell>
          <cell r="G56" t="str">
            <v>보건복지위원회</v>
          </cell>
          <cell r="I56" t="str">
            <v>11007</v>
          </cell>
          <cell r="K56" t="str">
            <v>303-01</v>
          </cell>
          <cell r="L56" t="str">
            <v>포상금</v>
          </cell>
          <cell r="M56" t="str">
            <v>포상금</v>
          </cell>
        </row>
        <row r="57">
          <cell r="A57" t="str">
            <v>문화정책과</v>
          </cell>
          <cell r="B57" t="str">
            <v>문화체육관광위원회</v>
          </cell>
          <cell r="C57" t="str">
            <v>문화체육관광국</v>
          </cell>
          <cell r="E57" t="str">
            <v>문화체육관광국</v>
          </cell>
          <cell r="F57" t="str">
            <v>문화정책과</v>
          </cell>
          <cell r="G57" t="str">
            <v>문화체육관광위원회</v>
          </cell>
          <cell r="I57">
            <v>13001</v>
          </cell>
          <cell r="K57" t="str">
            <v>304-01</v>
          </cell>
          <cell r="L57" t="str">
            <v>연금 부담금 등</v>
          </cell>
          <cell r="M57" t="str">
            <v>연금부담금</v>
          </cell>
        </row>
        <row r="58">
          <cell r="A58" t="str">
            <v>종교협력과</v>
          </cell>
          <cell r="B58" t="str">
            <v>문화체육관광위원회</v>
          </cell>
          <cell r="C58" t="str">
            <v>문화체육관광국</v>
          </cell>
          <cell r="E58" t="str">
            <v>문화체육관광국</v>
          </cell>
          <cell r="F58" t="str">
            <v>종교협력과</v>
          </cell>
          <cell r="G58" t="str">
            <v>문화체육관광위원회</v>
          </cell>
          <cell r="I58">
            <v>13002</v>
          </cell>
          <cell r="K58" t="str">
            <v>304-02</v>
          </cell>
          <cell r="L58" t="str">
            <v>연금 부담금 등</v>
          </cell>
          <cell r="M58" t="str">
            <v>국민건강보험금</v>
          </cell>
        </row>
        <row r="59">
          <cell r="A59" t="str">
            <v>콘텐츠산업과</v>
          </cell>
          <cell r="B59" t="str">
            <v>문화체육관광위원회</v>
          </cell>
          <cell r="C59" t="str">
            <v>문화체육관광국</v>
          </cell>
          <cell r="E59" t="str">
            <v>문화체육관광국</v>
          </cell>
          <cell r="F59" t="str">
            <v>콘텐츠산업과</v>
          </cell>
          <cell r="G59" t="str">
            <v>문화체육관광위원회</v>
          </cell>
          <cell r="I59">
            <v>13003</v>
          </cell>
          <cell r="K59" t="str">
            <v>304-03</v>
          </cell>
          <cell r="L59" t="str">
            <v>연금 부담금 등</v>
          </cell>
          <cell r="M59" t="str">
            <v>의원상해부담금</v>
          </cell>
        </row>
        <row r="60">
          <cell r="A60" t="str">
            <v>예술정책과</v>
          </cell>
          <cell r="B60" t="str">
            <v>문화체육관광위원회</v>
          </cell>
          <cell r="C60" t="str">
            <v>문화체육관광국</v>
          </cell>
          <cell r="E60" t="str">
            <v>문화체육관광국</v>
          </cell>
          <cell r="F60" t="str">
            <v>예술정책과</v>
          </cell>
          <cell r="G60" t="str">
            <v>문화체육관광위원회</v>
          </cell>
          <cell r="I60">
            <v>13004</v>
          </cell>
          <cell r="K60" t="str">
            <v>304-04</v>
          </cell>
          <cell r="L60" t="str">
            <v>연금 부담금 등</v>
          </cell>
          <cell r="M60" t="str">
            <v>공무직(무기계약)근로자보험료부담금등</v>
          </cell>
        </row>
        <row r="61">
          <cell r="A61" t="str">
            <v>체육진흥과</v>
          </cell>
          <cell r="B61" t="str">
            <v>문화체육관광위원회</v>
          </cell>
          <cell r="C61" t="str">
            <v>문화체육관광국</v>
          </cell>
          <cell r="E61" t="str">
            <v>문화체육관광국</v>
          </cell>
          <cell r="F61" t="str">
            <v>체육진흥과</v>
          </cell>
          <cell r="G61" t="str">
            <v>문화체육관광위원회</v>
          </cell>
          <cell r="I61">
            <v>13005</v>
          </cell>
          <cell r="K61" t="str">
            <v>305-01</v>
          </cell>
          <cell r="L61" t="str">
            <v>배상금 등</v>
          </cell>
          <cell r="M61" t="str">
            <v>배상금등</v>
          </cell>
        </row>
        <row r="62">
          <cell r="A62" t="str">
            <v>문화유산과</v>
          </cell>
          <cell r="B62" t="str">
            <v>문화체육관광위원회</v>
          </cell>
          <cell r="C62" t="str">
            <v>문화체육관광국</v>
          </cell>
          <cell r="E62" t="str">
            <v>문화체육관광국</v>
          </cell>
          <cell r="F62" t="str">
            <v>문화유산과</v>
          </cell>
          <cell r="G62" t="str">
            <v>문화체육관광위원회</v>
          </cell>
          <cell r="I62">
            <v>13006</v>
          </cell>
          <cell r="K62" t="str">
            <v>306-01</v>
          </cell>
          <cell r="L62" t="str">
            <v>출연금</v>
          </cell>
          <cell r="M62" t="str">
            <v>출연금</v>
          </cell>
        </row>
        <row r="63">
          <cell r="A63" t="str">
            <v>관광산업과</v>
          </cell>
          <cell r="B63" t="str">
            <v>문화체육관광위원회</v>
          </cell>
          <cell r="C63" t="str">
            <v>문화체육관광국</v>
          </cell>
          <cell r="E63" t="str">
            <v>문화체육관광국</v>
          </cell>
          <cell r="F63" t="str">
            <v>관광산업과</v>
          </cell>
          <cell r="G63" t="str">
            <v>문화체육관광위원회</v>
          </cell>
          <cell r="I63">
            <v>13007</v>
          </cell>
          <cell r="K63" t="str">
            <v>307-01</v>
          </cell>
          <cell r="L63" t="str">
            <v>민간이전</v>
          </cell>
          <cell r="M63" t="str">
            <v>의료및회복비</v>
          </cell>
        </row>
        <row r="64">
          <cell r="A64" t="str">
            <v>남한산성세계유산센터</v>
          </cell>
          <cell r="B64" t="str">
            <v>문화체육관광위원회</v>
          </cell>
          <cell r="C64" t="str">
            <v>문화체육관광국</v>
          </cell>
          <cell r="E64" t="str">
            <v>문화체육관광국</v>
          </cell>
          <cell r="F64" t="str">
            <v>남한산성세계유산센터</v>
          </cell>
          <cell r="G64" t="str">
            <v>문화체육관광위원회</v>
          </cell>
          <cell r="I64">
            <v>13008</v>
          </cell>
          <cell r="K64" t="str">
            <v>307-02</v>
          </cell>
          <cell r="L64" t="str">
            <v>민간이전</v>
          </cell>
          <cell r="M64" t="str">
            <v>민간경상사업보조</v>
          </cell>
        </row>
        <row r="65">
          <cell r="A65" t="str">
            <v>전국체전추진단</v>
          </cell>
          <cell r="B65" t="str">
            <v>문화체육관광위원회</v>
          </cell>
          <cell r="C65" t="str">
            <v>문화체육관광국</v>
          </cell>
          <cell r="E65" t="str">
            <v>문화체육관광국</v>
          </cell>
          <cell r="F65" t="str">
            <v>전국체전추진단</v>
          </cell>
          <cell r="G65" t="str">
            <v>문화체육관광위원회</v>
          </cell>
          <cell r="I65">
            <v>13009</v>
          </cell>
          <cell r="K65" t="str">
            <v>307-03</v>
          </cell>
          <cell r="L65" t="str">
            <v>민간이전</v>
          </cell>
          <cell r="M65" t="str">
            <v>민간단체법정운영비보조</v>
          </cell>
        </row>
        <row r="66">
          <cell r="A66" t="str">
            <v>농업정책과</v>
          </cell>
          <cell r="B66" t="str">
            <v>농정해양위원회</v>
          </cell>
          <cell r="C66" t="str">
            <v>농수산생명과학국</v>
          </cell>
          <cell r="E66" t="str">
            <v>농수산생명과학국</v>
          </cell>
          <cell r="F66" t="str">
            <v>농업정책과</v>
          </cell>
          <cell r="G66" t="str">
            <v>농정해양위원회</v>
          </cell>
          <cell r="I66" t="str">
            <v>14001</v>
          </cell>
          <cell r="K66" t="str">
            <v>307-04</v>
          </cell>
          <cell r="L66" t="str">
            <v>민간이전</v>
          </cell>
          <cell r="M66" t="str">
            <v>민간행사사업보조</v>
          </cell>
        </row>
        <row r="67">
          <cell r="A67" t="str">
            <v>농식품유통과</v>
          </cell>
          <cell r="B67" t="str">
            <v>농정해양위원회</v>
          </cell>
          <cell r="C67" t="str">
            <v>농수산생명과학국</v>
          </cell>
          <cell r="E67" t="str">
            <v>농수산생명과학국</v>
          </cell>
          <cell r="F67" t="str">
            <v>농식품유통과</v>
          </cell>
          <cell r="G67" t="str">
            <v>농정해양위원회</v>
          </cell>
          <cell r="I67" t="str">
            <v>14002</v>
          </cell>
          <cell r="K67" t="str">
            <v>307-05</v>
          </cell>
          <cell r="L67" t="str">
            <v>민간이전</v>
          </cell>
          <cell r="M67" t="str">
            <v>민간위탁금</v>
          </cell>
        </row>
        <row r="68">
          <cell r="A68" t="str">
            <v>친환경농업과</v>
          </cell>
          <cell r="B68" t="str">
            <v>농정해양위원회</v>
          </cell>
          <cell r="C68" t="str">
            <v>농수산생명과학국</v>
          </cell>
          <cell r="E68" t="str">
            <v>농수산생명과학국</v>
          </cell>
          <cell r="F68" t="str">
            <v>친환경농업과</v>
          </cell>
          <cell r="G68" t="str">
            <v>농정해양위원회</v>
          </cell>
          <cell r="I68" t="str">
            <v>14003</v>
          </cell>
          <cell r="K68" t="str">
            <v>307-06</v>
          </cell>
          <cell r="L68" t="str">
            <v>민간이전</v>
          </cell>
          <cell r="M68" t="str">
            <v>보험금</v>
          </cell>
        </row>
        <row r="69">
          <cell r="A69" t="str">
            <v>해양수산과</v>
          </cell>
          <cell r="B69" t="str">
            <v>농정해양위원회</v>
          </cell>
          <cell r="C69" t="str">
            <v>농수산생명과학국</v>
          </cell>
          <cell r="E69" t="str">
            <v>농수산생명과학국</v>
          </cell>
          <cell r="F69" t="str">
            <v>해양수산과</v>
          </cell>
          <cell r="G69" t="str">
            <v>농정해양위원회</v>
          </cell>
          <cell r="I69" t="str">
            <v>14004</v>
          </cell>
          <cell r="K69" t="str">
            <v>307-07</v>
          </cell>
          <cell r="L69" t="str">
            <v>민간이전</v>
          </cell>
          <cell r="M69" t="str">
            <v>연금지급금</v>
          </cell>
        </row>
        <row r="70">
          <cell r="A70" t="str">
            <v>친환경급식지원센터</v>
          </cell>
          <cell r="B70" t="str">
            <v>농정해양위원회</v>
          </cell>
          <cell r="C70" t="str">
            <v>농수산생명과학국</v>
          </cell>
          <cell r="E70" t="str">
            <v>농수산생명과학국</v>
          </cell>
          <cell r="F70" t="str">
            <v>친환경급식지원센터</v>
          </cell>
          <cell r="G70" t="str">
            <v>농정해양위원회</v>
          </cell>
          <cell r="I70" t="str">
            <v>14005</v>
          </cell>
          <cell r="K70" t="str">
            <v>307-08</v>
          </cell>
          <cell r="L70" t="str">
            <v>민간이전</v>
          </cell>
          <cell r="M70" t="str">
            <v>이차보전금</v>
          </cell>
        </row>
        <row r="71">
          <cell r="A71" t="str">
            <v>해양수산자원연구소</v>
          </cell>
          <cell r="B71" t="str">
            <v>농정해양위원회</v>
          </cell>
          <cell r="C71" t="str">
            <v>농수산생명과학국</v>
          </cell>
          <cell r="E71" t="str">
            <v>농수산생명과학국</v>
          </cell>
          <cell r="F71" t="str">
            <v>해양수산자원연구소</v>
          </cell>
          <cell r="G71" t="str">
            <v>농정해양위원회</v>
          </cell>
          <cell r="I71" t="str">
            <v>14006</v>
          </cell>
          <cell r="K71" t="str">
            <v>307-09</v>
          </cell>
          <cell r="L71" t="str">
            <v>민간이전</v>
          </cell>
          <cell r="M71" t="str">
            <v>운수업계보조금</v>
          </cell>
        </row>
        <row r="72">
          <cell r="A72" t="str">
            <v>종자관리소</v>
          </cell>
          <cell r="B72" t="str">
            <v>농정해양위원회</v>
          </cell>
          <cell r="C72" t="str">
            <v>농수산생명과학국</v>
          </cell>
          <cell r="E72" t="str">
            <v>농수산생명과학국</v>
          </cell>
          <cell r="F72" t="str">
            <v>종자관리소</v>
          </cell>
          <cell r="G72" t="str">
            <v>농정해양위원회</v>
          </cell>
          <cell r="I72" t="str">
            <v>14007</v>
          </cell>
          <cell r="K72" t="str">
            <v>307-10</v>
          </cell>
          <cell r="L72" t="str">
            <v>민간이전</v>
          </cell>
          <cell r="M72" t="str">
            <v>사회복지시설법정운영비보조</v>
          </cell>
        </row>
        <row r="73">
          <cell r="A73" t="str">
            <v>평생교육과</v>
          </cell>
          <cell r="B73" t="str">
            <v>여성가족평생교육위원회</v>
          </cell>
          <cell r="C73" t="str">
            <v>미래평생교육국</v>
          </cell>
          <cell r="E73" t="str">
            <v>미래평생교육국</v>
          </cell>
          <cell r="F73" t="str">
            <v>평생교육과</v>
          </cell>
          <cell r="G73" t="str">
            <v>여성가족평생교육위원회</v>
          </cell>
          <cell r="I73" t="str">
            <v>15001</v>
          </cell>
          <cell r="K73" t="str">
            <v>307-11</v>
          </cell>
          <cell r="L73" t="str">
            <v>민간이전</v>
          </cell>
          <cell r="M73" t="str">
            <v>사회복지사업보조</v>
          </cell>
        </row>
        <row r="74">
          <cell r="A74" t="str">
            <v>청년기회과</v>
          </cell>
          <cell r="B74" t="str">
            <v>여성가족평생교육위원회</v>
          </cell>
          <cell r="C74" t="str">
            <v>미래평생교육국</v>
          </cell>
          <cell r="E74" t="str">
            <v>미래평생교육국</v>
          </cell>
          <cell r="F74" t="str">
            <v>청년기회과</v>
          </cell>
          <cell r="G74" t="str">
            <v>여성가족평생교육위원회</v>
          </cell>
          <cell r="I74" t="str">
            <v>30602</v>
          </cell>
          <cell r="K74" t="str">
            <v>307-12</v>
          </cell>
          <cell r="L74" t="str">
            <v>민간이전</v>
          </cell>
          <cell r="M74" t="str">
            <v>민간인위탁교육비</v>
          </cell>
        </row>
        <row r="75">
          <cell r="A75" t="str">
            <v>청소년과</v>
          </cell>
          <cell r="B75" t="str">
            <v>여성가족평생교육위원회</v>
          </cell>
          <cell r="C75" t="str">
            <v>미래평생교육국</v>
          </cell>
          <cell r="E75" t="str">
            <v>미래평생교육국</v>
          </cell>
          <cell r="F75" t="str">
            <v>청소년과</v>
          </cell>
          <cell r="G75" t="str">
            <v>여성가족평생교육위원회</v>
          </cell>
          <cell r="I75" t="str">
            <v>15003</v>
          </cell>
          <cell r="K75" t="str">
            <v>308-01</v>
          </cell>
          <cell r="L75" t="str">
            <v>자치단체등 이전</v>
          </cell>
          <cell r="M75" t="str">
            <v>자치단체경상보조금</v>
          </cell>
        </row>
        <row r="76">
          <cell r="A76" t="str">
            <v>경기도서관</v>
          </cell>
          <cell r="B76" t="str">
            <v>여성가족평생교육위원회</v>
          </cell>
          <cell r="C76" t="str">
            <v>경기도서관</v>
          </cell>
          <cell r="E76" t="str">
            <v>경기도서관</v>
          </cell>
          <cell r="F76" t="str">
            <v>경기도서관</v>
          </cell>
          <cell r="G76" t="str">
            <v>여성가족평생교육위원회</v>
          </cell>
          <cell r="I76" t="str">
            <v>15004</v>
          </cell>
          <cell r="K76" t="str">
            <v>308-02</v>
          </cell>
          <cell r="L76" t="str">
            <v>자치단체등 이전</v>
          </cell>
          <cell r="M76" t="str">
            <v>징수교부금</v>
          </cell>
        </row>
        <row r="77">
          <cell r="A77" t="str">
            <v>여성정책과</v>
          </cell>
          <cell r="B77" t="str">
            <v>여성가족평생교육위원회</v>
          </cell>
          <cell r="C77" t="str">
            <v>여성가족국</v>
          </cell>
          <cell r="E77" t="str">
            <v>여성가족국</v>
          </cell>
          <cell r="F77" t="str">
            <v>여성정책과</v>
          </cell>
          <cell r="G77" t="str">
            <v>여성가족평생교육위원회</v>
          </cell>
          <cell r="I77" t="str">
            <v>16001</v>
          </cell>
          <cell r="K77" t="str">
            <v>308-03</v>
          </cell>
          <cell r="L77" t="str">
            <v>자치단체등 이전</v>
          </cell>
          <cell r="M77" t="str">
            <v>자치구조정교부금</v>
          </cell>
        </row>
        <row r="78">
          <cell r="A78" t="str">
            <v>가족정책과</v>
          </cell>
          <cell r="B78" t="str">
            <v>여성가족평생교육위원회</v>
          </cell>
          <cell r="C78" t="str">
            <v>여성가족국</v>
          </cell>
          <cell r="E78" t="str">
            <v>여성가족국</v>
          </cell>
          <cell r="F78" t="str">
            <v>가족정책과</v>
          </cell>
          <cell r="G78" t="str">
            <v>여성가족평생교육위원회</v>
          </cell>
          <cell r="I78" t="str">
            <v>16002</v>
          </cell>
          <cell r="K78" t="str">
            <v>308-04</v>
          </cell>
          <cell r="L78" t="str">
            <v>자치단체등 이전</v>
          </cell>
          <cell r="M78" t="str">
            <v>시·군조정교부금</v>
          </cell>
        </row>
        <row r="79">
          <cell r="A79" t="str">
            <v>보육정책과</v>
          </cell>
          <cell r="B79" t="str">
            <v>여성가족평생교육위원회</v>
          </cell>
          <cell r="C79" t="str">
            <v>여성가족국</v>
          </cell>
          <cell r="E79" t="str">
            <v>여성가족국</v>
          </cell>
          <cell r="F79" t="str">
            <v>보육정책과</v>
          </cell>
          <cell r="G79" t="str">
            <v>여성가족평생교육위원회</v>
          </cell>
          <cell r="I79" t="str">
            <v>16003</v>
          </cell>
          <cell r="K79" t="str">
            <v>308-05</v>
          </cell>
          <cell r="L79" t="str">
            <v>자치단체등 이전</v>
          </cell>
          <cell r="M79" t="str">
            <v>자치구기타재원조정비</v>
          </cell>
        </row>
        <row r="80">
          <cell r="A80" t="str">
            <v>아동돌봄과</v>
          </cell>
          <cell r="B80" t="str">
            <v>여성가족평생교육위원회</v>
          </cell>
          <cell r="C80" t="str">
            <v>여성가족국</v>
          </cell>
          <cell r="E80" t="str">
            <v>여성가족국</v>
          </cell>
          <cell r="F80" t="str">
            <v>아동돌봄과</v>
          </cell>
          <cell r="G80" t="str">
            <v>여성가족평생교육위원회</v>
          </cell>
          <cell r="I80" t="str">
            <v>16004</v>
          </cell>
          <cell r="K80" t="str">
            <v>308-06</v>
          </cell>
          <cell r="L80" t="str">
            <v>자치단체등 이전</v>
          </cell>
          <cell r="M80" t="str">
            <v>시·군기타재원조정비</v>
          </cell>
        </row>
        <row r="81">
          <cell r="A81" t="str">
            <v>고용평등과</v>
          </cell>
          <cell r="B81" t="str">
            <v>여성가족평생교육위원회</v>
          </cell>
          <cell r="C81" t="str">
            <v>여성가족국</v>
          </cell>
          <cell r="E81" t="str">
            <v>여성가족국</v>
          </cell>
          <cell r="F81" t="str">
            <v>고용평등과</v>
          </cell>
          <cell r="G81" t="str">
            <v>여성가족평생교육위원회</v>
          </cell>
          <cell r="I81" t="str">
            <v>16005</v>
          </cell>
          <cell r="K81" t="str">
            <v>308-07</v>
          </cell>
          <cell r="L81" t="str">
            <v>자치단체등 이전</v>
          </cell>
          <cell r="M81" t="str">
            <v>자치단체간부담금</v>
          </cell>
        </row>
        <row r="82">
          <cell r="A82" t="str">
            <v>여성비전센터</v>
          </cell>
          <cell r="B82" t="str">
            <v>여성가족평생교육위원회</v>
          </cell>
          <cell r="C82" t="str">
            <v>여성가족국</v>
          </cell>
          <cell r="E82" t="str">
            <v>여성가족국</v>
          </cell>
          <cell r="F82" t="str">
            <v>여성비전센터</v>
          </cell>
          <cell r="G82" t="str">
            <v>여성가족평생교육위원회</v>
          </cell>
          <cell r="I82" t="str">
            <v>16006</v>
          </cell>
          <cell r="K82" t="str">
            <v>308-08</v>
          </cell>
          <cell r="L82" t="str">
            <v>자치단체등 이전</v>
          </cell>
          <cell r="M82" t="str">
            <v>교육기관에대한보조</v>
          </cell>
        </row>
        <row r="83">
          <cell r="A83" t="str">
            <v>기획예산담당관</v>
          </cell>
          <cell r="B83" t="str">
            <v>기획재정위원회</v>
          </cell>
          <cell r="C83" t="str">
            <v>균형발전기획실</v>
          </cell>
          <cell r="E83" t="str">
            <v>균형발전기획실</v>
          </cell>
          <cell r="F83" t="str">
            <v>기획예산담당관</v>
          </cell>
          <cell r="G83" t="str">
            <v>기획재정위원회</v>
          </cell>
          <cell r="I83" t="str">
            <v>20101</v>
          </cell>
          <cell r="K83" t="str">
            <v>308-09</v>
          </cell>
          <cell r="L83" t="str">
            <v>자치단체등 이전</v>
          </cell>
          <cell r="M83" t="str">
            <v>지역대학에대한경상보조</v>
          </cell>
        </row>
        <row r="84">
          <cell r="A84" t="str">
            <v>균형발전담당관</v>
          </cell>
          <cell r="B84" t="str">
            <v>기획재정위원회</v>
          </cell>
          <cell r="C84" t="str">
            <v>균형발전기획실</v>
          </cell>
          <cell r="E84" t="str">
            <v>균형발전기획실</v>
          </cell>
          <cell r="F84" t="str">
            <v>균형발전담당관</v>
          </cell>
          <cell r="G84" t="str">
            <v>기획재정위원회</v>
          </cell>
          <cell r="I84" t="str">
            <v>20102</v>
          </cell>
          <cell r="K84" t="str">
            <v>308-10</v>
          </cell>
          <cell r="L84" t="str">
            <v>자치단체등 이전</v>
          </cell>
          <cell r="M84" t="str">
            <v>시·군·구교육비특별회계법정전출금</v>
          </cell>
        </row>
        <row r="85">
          <cell r="A85" t="str">
            <v>행정관리담당관</v>
          </cell>
          <cell r="B85" t="str">
            <v>기획재정위원회</v>
          </cell>
          <cell r="C85" t="str">
            <v>균형발전기획실</v>
          </cell>
          <cell r="E85" t="str">
            <v>균형발전기획실</v>
          </cell>
          <cell r="F85" t="str">
            <v>행정관리담당관</v>
          </cell>
          <cell r="G85" t="str">
            <v>기획재정위원회</v>
          </cell>
          <cell r="I85" t="str">
            <v>20103</v>
          </cell>
          <cell r="K85" t="str">
            <v>308-11</v>
          </cell>
          <cell r="L85" t="str">
            <v>자치단체등 이전</v>
          </cell>
          <cell r="M85" t="str">
            <v>시·군·구교육비특별회계비법정전출금</v>
          </cell>
        </row>
        <row r="86">
          <cell r="A86" t="str">
            <v>회계담당관</v>
          </cell>
          <cell r="B86" t="str">
            <v>기획재정위원회</v>
          </cell>
          <cell r="C86" t="str">
            <v>균형발전기획실</v>
          </cell>
          <cell r="E86" t="str">
            <v>균형발전기획실</v>
          </cell>
          <cell r="F86" t="str">
            <v>회계담당관</v>
          </cell>
          <cell r="G86" t="str">
            <v>기획재정위원회</v>
          </cell>
          <cell r="I86" t="str">
            <v>20104</v>
          </cell>
          <cell r="K86" t="str">
            <v>308-12</v>
          </cell>
          <cell r="L86" t="str">
            <v>자치단체등 이전</v>
          </cell>
          <cell r="M86" t="str">
            <v>예비군육성지원경상보조</v>
          </cell>
        </row>
        <row r="87">
          <cell r="A87" t="str">
            <v>군협력담당관</v>
          </cell>
          <cell r="B87" t="str">
            <v>기획재정위원회</v>
          </cell>
          <cell r="C87" t="str">
            <v>균형발전기획실</v>
          </cell>
          <cell r="E87" t="str">
            <v>균형발전기획실</v>
          </cell>
          <cell r="F87" t="str">
            <v>군협력담당관</v>
          </cell>
          <cell r="G87" t="str">
            <v>기획재정위원회</v>
          </cell>
          <cell r="I87" t="str">
            <v>20105</v>
          </cell>
          <cell r="K87" t="str">
            <v>308-13</v>
          </cell>
          <cell r="L87" t="str">
            <v>자치단체등 이전</v>
          </cell>
          <cell r="M87" t="str">
            <v>공기관등에대한경상적위탁사업비</v>
          </cell>
        </row>
        <row r="88">
          <cell r="A88" t="str">
            <v>비상기획담당관</v>
          </cell>
          <cell r="B88" t="str">
            <v>기획재정위원회</v>
          </cell>
          <cell r="C88" t="str">
            <v>균형발전기획실</v>
          </cell>
          <cell r="E88" t="str">
            <v>균형발전기획실</v>
          </cell>
          <cell r="F88" t="str">
            <v>비상기획담당관</v>
          </cell>
          <cell r="G88" t="str">
            <v>기획재정위원회</v>
          </cell>
          <cell r="I88" t="str">
            <v>20106</v>
          </cell>
          <cell r="K88" t="str">
            <v>308-14</v>
          </cell>
          <cell r="L88" t="str">
            <v>자치단체등 이전</v>
          </cell>
          <cell r="M88" t="str">
            <v>기타부담금</v>
          </cell>
        </row>
        <row r="89">
          <cell r="A89" t="str">
            <v>총괄기획과</v>
          </cell>
          <cell r="B89" t="str">
            <v>안전행정위원회</v>
          </cell>
          <cell r="C89" t="str">
            <v>경기북부특별자치도추진단</v>
          </cell>
          <cell r="E89" t="str">
            <v>경기북부특별자치도추진단</v>
          </cell>
          <cell r="F89" t="str">
            <v>총괄기획과</v>
          </cell>
          <cell r="G89" t="str">
            <v>안전행정위원회</v>
          </cell>
          <cell r="I89" t="str">
            <v>17001</v>
          </cell>
          <cell r="K89" t="str">
            <v>309-01</v>
          </cell>
          <cell r="L89" t="str">
            <v>전출금</v>
          </cell>
          <cell r="M89" t="str">
            <v>공사·공단경상전출금</v>
          </cell>
        </row>
        <row r="90">
          <cell r="A90" t="str">
            <v>특례정책과</v>
          </cell>
          <cell r="B90" t="str">
            <v>안전행정위원회</v>
          </cell>
          <cell r="C90" t="str">
            <v>경기북부특별자치도추진단</v>
          </cell>
          <cell r="E90" t="str">
            <v>경기북부특별자치도추진단</v>
          </cell>
          <cell r="F90" t="str">
            <v>특례정책과</v>
          </cell>
          <cell r="G90" t="str">
            <v>안전행정위원회</v>
          </cell>
          <cell r="I90" t="str">
            <v>17002</v>
          </cell>
          <cell r="K90" t="str">
            <v>309-02</v>
          </cell>
          <cell r="L90" t="str">
            <v>전출금</v>
          </cell>
          <cell r="M90" t="str">
            <v>공무원연금관리공단경상전출금</v>
          </cell>
        </row>
        <row r="91">
          <cell r="A91" t="str">
            <v>평화협력과</v>
          </cell>
          <cell r="B91" t="str">
            <v>기획재정위원회</v>
          </cell>
          <cell r="C91" t="str">
            <v>평화협력국</v>
          </cell>
          <cell r="E91" t="str">
            <v>평화협력국</v>
          </cell>
          <cell r="F91" t="str">
            <v>평화협력과</v>
          </cell>
          <cell r="G91" t="str">
            <v>기획재정위원회</v>
          </cell>
          <cell r="I91" t="str">
            <v>20201</v>
          </cell>
          <cell r="K91" t="str">
            <v>310-01</v>
          </cell>
          <cell r="L91" t="str">
            <v>국외이전</v>
          </cell>
          <cell r="M91" t="str">
            <v>국외경상이전</v>
          </cell>
        </row>
        <row r="92">
          <cell r="A92" t="str">
            <v>평화기반조성과</v>
          </cell>
          <cell r="B92" t="str">
            <v>기획재정위원회</v>
          </cell>
          <cell r="C92" t="str">
            <v>평화협력국</v>
          </cell>
          <cell r="E92" t="str">
            <v>평화협력국</v>
          </cell>
          <cell r="F92" t="str">
            <v>평화기반조성과</v>
          </cell>
          <cell r="G92" t="str">
            <v>기획재정위원회</v>
          </cell>
          <cell r="I92" t="str">
            <v>20202</v>
          </cell>
          <cell r="K92" t="str">
            <v>310-02</v>
          </cell>
          <cell r="L92" t="str">
            <v>국외이전</v>
          </cell>
          <cell r="M92" t="str">
            <v>국제부담금</v>
          </cell>
        </row>
        <row r="93">
          <cell r="A93" t="str">
            <v>DMZ정책과</v>
          </cell>
          <cell r="B93" t="str">
            <v>기획재정위원회</v>
          </cell>
          <cell r="C93" t="str">
            <v>평화협력국</v>
          </cell>
          <cell r="E93" t="str">
            <v>평화협력국</v>
          </cell>
          <cell r="F93" t="str">
            <v>DMZ정책과</v>
          </cell>
          <cell r="G93" t="str">
            <v>기획재정위원회</v>
          </cell>
          <cell r="I93" t="str">
            <v>20203</v>
          </cell>
          <cell r="K93" t="str">
            <v>311-01</v>
          </cell>
          <cell r="L93" t="str">
            <v>차입금 이자상환</v>
          </cell>
          <cell r="M93" t="str">
            <v>시·군·구지역개발기금차입금이자상환</v>
          </cell>
        </row>
        <row r="94">
          <cell r="A94" t="str">
            <v>노동정책과</v>
          </cell>
          <cell r="B94" t="str">
            <v>경제노동위원회</v>
          </cell>
          <cell r="C94" t="str">
            <v>노동국</v>
          </cell>
          <cell r="E94" t="str">
            <v>노동국</v>
          </cell>
          <cell r="F94" t="str">
            <v>노동정책과</v>
          </cell>
          <cell r="G94" t="str">
            <v>경제노동위원회</v>
          </cell>
          <cell r="I94" t="str">
            <v>20301</v>
          </cell>
          <cell r="K94" t="str">
            <v>311-02</v>
          </cell>
          <cell r="L94" t="str">
            <v>차입금 이자상환</v>
          </cell>
          <cell r="M94" t="str">
            <v>통화금융기관차입금이자상환</v>
          </cell>
        </row>
        <row r="95">
          <cell r="A95" t="str">
            <v>노동권익과</v>
          </cell>
          <cell r="B95" t="str">
            <v>경제노동위원회</v>
          </cell>
          <cell r="C95" t="str">
            <v>노동국</v>
          </cell>
          <cell r="E95" t="str">
            <v>노동국</v>
          </cell>
          <cell r="F95" t="str">
            <v>노동권익과</v>
          </cell>
          <cell r="G95" t="str">
            <v>경제노동위원회</v>
          </cell>
          <cell r="I95" t="str">
            <v>20302</v>
          </cell>
          <cell r="K95" t="str">
            <v>311-03</v>
          </cell>
          <cell r="L95" t="str">
            <v>차입금 이자상환</v>
          </cell>
          <cell r="M95" t="str">
            <v>중앙정부차입금이자상환</v>
          </cell>
        </row>
        <row r="96">
          <cell r="A96" t="str">
            <v>노동안전과</v>
          </cell>
          <cell r="B96" t="str">
            <v>경제노동위원회</v>
          </cell>
          <cell r="C96" t="str">
            <v>노동국</v>
          </cell>
          <cell r="E96" t="str">
            <v>노동국</v>
          </cell>
          <cell r="F96" t="str">
            <v>노동안전과</v>
          </cell>
          <cell r="G96" t="str">
            <v>경제노동위원회</v>
          </cell>
          <cell r="I96" t="str">
            <v>20303</v>
          </cell>
          <cell r="K96" t="str">
            <v>311-04</v>
          </cell>
          <cell r="L96" t="str">
            <v>차입금 이자상환</v>
          </cell>
          <cell r="M96" t="str">
            <v>지방채증권이자상환</v>
          </cell>
        </row>
        <row r="97">
          <cell r="A97" t="str">
            <v>이민사회정책과</v>
          </cell>
          <cell r="B97" t="str">
            <v>여성가족평생교육위원회</v>
          </cell>
          <cell r="C97" t="str">
            <v>이민사회국</v>
          </cell>
          <cell r="E97" t="str">
            <v>이민사회국</v>
          </cell>
          <cell r="F97" t="str">
            <v>이민사회정책과</v>
          </cell>
          <cell r="G97" t="str">
            <v>여성가족평생교육위원회</v>
          </cell>
          <cell r="I97" t="str">
            <v>20304</v>
          </cell>
          <cell r="K97" t="str">
            <v>311-05</v>
          </cell>
          <cell r="L97" t="str">
            <v>차입금 이자상환</v>
          </cell>
          <cell r="M97" t="str">
            <v>기타차입금이자상환</v>
          </cell>
        </row>
        <row r="98">
          <cell r="A98" t="str">
            <v>이민사회지원과</v>
          </cell>
          <cell r="B98" t="str">
            <v>여성가족평생교육위원회</v>
          </cell>
          <cell r="C98" t="str">
            <v>이민사회국</v>
          </cell>
          <cell r="E98" t="str">
            <v>이민사회국</v>
          </cell>
          <cell r="F98" t="str">
            <v>이민사회지원과</v>
          </cell>
          <cell r="G98" t="str">
            <v>여성가족평생교육위원회</v>
          </cell>
          <cell r="I98">
            <v>20305</v>
          </cell>
          <cell r="K98" t="str">
            <v>401-01</v>
          </cell>
          <cell r="L98" t="str">
            <v>시설비 및 부대비</v>
          </cell>
          <cell r="M98" t="str">
            <v>시설비</v>
          </cell>
        </row>
        <row r="99">
          <cell r="A99" t="str">
            <v>건설정책과</v>
          </cell>
          <cell r="B99" t="str">
            <v>건설교통위원회</v>
          </cell>
          <cell r="C99" t="str">
            <v>건설국</v>
          </cell>
          <cell r="E99" t="str">
            <v>건설국</v>
          </cell>
          <cell r="F99" t="str">
            <v>건설정책과</v>
          </cell>
          <cell r="G99" t="str">
            <v>건설교통위원회</v>
          </cell>
          <cell r="I99" t="str">
            <v>20401</v>
          </cell>
          <cell r="K99" t="str">
            <v>401-02</v>
          </cell>
          <cell r="L99" t="str">
            <v>시설비 및 부대비</v>
          </cell>
          <cell r="M99" t="str">
            <v>감리비</v>
          </cell>
        </row>
        <row r="100">
          <cell r="A100" t="str">
            <v>건설안전기술과</v>
          </cell>
          <cell r="B100" t="str">
            <v>건설교통위원회</v>
          </cell>
          <cell r="C100" t="str">
            <v>건설국</v>
          </cell>
          <cell r="E100" t="str">
            <v>건설국</v>
          </cell>
          <cell r="F100" t="str">
            <v>건설안전기술과</v>
          </cell>
          <cell r="G100" t="str">
            <v>건설교통위원회</v>
          </cell>
          <cell r="I100" t="str">
            <v>20402</v>
          </cell>
          <cell r="K100" t="str">
            <v>401-03</v>
          </cell>
          <cell r="L100" t="str">
            <v>시설비 및 부대비</v>
          </cell>
          <cell r="M100" t="str">
            <v>시설부대비</v>
          </cell>
        </row>
        <row r="101">
          <cell r="A101" t="str">
            <v>도로정책과</v>
          </cell>
          <cell r="B101" t="str">
            <v>건설교통위원회</v>
          </cell>
          <cell r="C101" t="str">
            <v>건설국</v>
          </cell>
          <cell r="E101" t="str">
            <v>건설국</v>
          </cell>
          <cell r="F101" t="str">
            <v>도로정책과</v>
          </cell>
          <cell r="G101" t="str">
            <v>건설교통위원회</v>
          </cell>
          <cell r="I101" t="str">
            <v>20403</v>
          </cell>
          <cell r="K101" t="str">
            <v>401-04</v>
          </cell>
          <cell r="L101" t="str">
            <v>시설비 및 부대비</v>
          </cell>
          <cell r="M101" t="str">
            <v>행사관련시설비</v>
          </cell>
        </row>
        <row r="102">
          <cell r="A102" t="str">
            <v>도로안전과</v>
          </cell>
          <cell r="B102" t="str">
            <v>건설교통위원회</v>
          </cell>
          <cell r="C102" t="str">
            <v>건설국</v>
          </cell>
          <cell r="E102" t="str">
            <v>건설국</v>
          </cell>
          <cell r="F102" t="str">
            <v>도로안전과</v>
          </cell>
          <cell r="G102" t="str">
            <v>건설교통위원회</v>
          </cell>
          <cell r="I102" t="str">
            <v>20404</v>
          </cell>
          <cell r="K102" t="str">
            <v>402-01</v>
          </cell>
          <cell r="L102" t="str">
            <v>민간자본이전</v>
          </cell>
          <cell r="M102" t="str">
            <v>민간자본사업보조(자체재원)</v>
          </cell>
        </row>
        <row r="103">
          <cell r="A103" t="str">
            <v>하천과</v>
          </cell>
          <cell r="B103" t="str">
            <v>건설교통위원회</v>
          </cell>
          <cell r="C103" t="str">
            <v>건설국</v>
          </cell>
          <cell r="E103" t="str">
            <v>건설국</v>
          </cell>
          <cell r="F103" t="str">
            <v>하천과</v>
          </cell>
          <cell r="G103" t="str">
            <v>건설교통위원회</v>
          </cell>
          <cell r="I103" t="str">
            <v>20405</v>
          </cell>
          <cell r="K103" t="str">
            <v>402-02</v>
          </cell>
          <cell r="L103" t="str">
            <v>민간자본이전</v>
          </cell>
          <cell r="M103" t="str">
            <v>민간자본사업보조(이전재원)</v>
          </cell>
        </row>
        <row r="104">
          <cell r="A104" t="str">
            <v>광역교통정책과</v>
          </cell>
          <cell r="B104" t="str">
            <v>건설교통위원회</v>
          </cell>
          <cell r="C104" t="str">
            <v>교통국</v>
          </cell>
          <cell r="E104" t="str">
            <v>교통국</v>
          </cell>
          <cell r="F104" t="str">
            <v>광역교통정책과</v>
          </cell>
          <cell r="G104" t="str">
            <v>건설교통위원회</v>
          </cell>
          <cell r="I104" t="str">
            <v>20501</v>
          </cell>
          <cell r="K104" t="str">
            <v>402-03</v>
          </cell>
          <cell r="L104" t="str">
            <v>민간자본이전</v>
          </cell>
          <cell r="M104" t="str">
            <v>민간위탁사업비</v>
          </cell>
        </row>
        <row r="105">
          <cell r="A105" t="str">
            <v>버스정책과</v>
          </cell>
          <cell r="B105" t="str">
            <v>건설교통위원회</v>
          </cell>
          <cell r="C105" t="str">
            <v>교통국</v>
          </cell>
          <cell r="E105" t="str">
            <v>교통국</v>
          </cell>
          <cell r="F105" t="str">
            <v>버스정책과</v>
          </cell>
          <cell r="G105" t="str">
            <v>건설교통위원회</v>
          </cell>
          <cell r="I105" t="str">
            <v>20502</v>
          </cell>
          <cell r="K105" t="str">
            <v>403-01</v>
          </cell>
          <cell r="L105" t="str">
            <v>자치단체등 자본이전</v>
          </cell>
          <cell r="M105" t="str">
            <v>자치단체자본보조</v>
          </cell>
        </row>
        <row r="106">
          <cell r="A106" t="str">
            <v>버스관리과</v>
          </cell>
          <cell r="B106" t="str">
            <v>건설교통위원회</v>
          </cell>
          <cell r="C106" t="str">
            <v>교통국</v>
          </cell>
          <cell r="E106" t="str">
            <v>교통국</v>
          </cell>
          <cell r="F106" t="str">
            <v>버스관리과</v>
          </cell>
          <cell r="G106" t="str">
            <v>건설교통위원회</v>
          </cell>
          <cell r="I106" t="str">
            <v>20503</v>
          </cell>
          <cell r="K106" t="str">
            <v>403-02</v>
          </cell>
          <cell r="L106" t="str">
            <v>자치단체등 자본이전</v>
          </cell>
          <cell r="M106" t="str">
            <v>공기관등에대한자본적위탁사업비</v>
          </cell>
        </row>
        <row r="107">
          <cell r="A107" t="str">
            <v>택시교통과</v>
          </cell>
          <cell r="B107" t="str">
            <v>건설교통위원회</v>
          </cell>
          <cell r="C107" t="str">
            <v>교통국</v>
          </cell>
          <cell r="E107" t="str">
            <v>교통국</v>
          </cell>
          <cell r="F107" t="str">
            <v>택시교통과</v>
          </cell>
          <cell r="G107" t="str">
            <v>건설교통위원회</v>
          </cell>
          <cell r="I107" t="str">
            <v>20504</v>
          </cell>
          <cell r="K107" t="str">
            <v>403-03</v>
          </cell>
          <cell r="L107" t="str">
            <v>자치단체등 자본이전</v>
          </cell>
          <cell r="M107" t="str">
            <v>예비군육성지원자본보조</v>
          </cell>
        </row>
        <row r="108">
          <cell r="A108" t="str">
            <v>교통정보과</v>
          </cell>
          <cell r="B108" t="str">
            <v>건설교통위원회</v>
          </cell>
          <cell r="C108" t="str">
            <v>교통국</v>
          </cell>
          <cell r="E108" t="str">
            <v>교통국</v>
          </cell>
          <cell r="F108" t="str">
            <v>교통정보과</v>
          </cell>
          <cell r="G108" t="str">
            <v>건설교통위원회</v>
          </cell>
          <cell r="I108" t="str">
            <v>20505</v>
          </cell>
          <cell r="K108" t="str">
            <v>403-04</v>
          </cell>
          <cell r="L108" t="str">
            <v>자치단체등 자본이전</v>
          </cell>
          <cell r="M108" t="str">
            <v>지역대학에대한자본보조</v>
          </cell>
        </row>
        <row r="109">
          <cell r="A109" t="str">
            <v>철도정책과</v>
          </cell>
          <cell r="B109" t="str">
            <v>건설교통위원회</v>
          </cell>
          <cell r="C109" t="str">
            <v>철도항만물류국</v>
          </cell>
          <cell r="E109" t="str">
            <v>철도항만물류국</v>
          </cell>
          <cell r="F109" t="str">
            <v>철도정책과</v>
          </cell>
          <cell r="G109" t="str">
            <v>건설교통위원회</v>
          </cell>
          <cell r="I109" t="str">
            <v>20601</v>
          </cell>
          <cell r="K109" t="str">
            <v>404-01</v>
          </cell>
          <cell r="L109" t="str">
            <v>공사공단 자본전출금</v>
          </cell>
          <cell r="M109" t="str">
            <v>공사·공단자본전출금</v>
          </cell>
        </row>
        <row r="110">
          <cell r="A110" t="str">
            <v>철도건설과</v>
          </cell>
          <cell r="B110" t="str">
            <v>건설교통위원회</v>
          </cell>
          <cell r="C110" t="str">
            <v>철도항만물류국</v>
          </cell>
          <cell r="E110" t="str">
            <v>철도항만물류국</v>
          </cell>
          <cell r="F110" t="str">
            <v>철도건설과</v>
          </cell>
          <cell r="G110" t="str">
            <v>건설교통위원회</v>
          </cell>
          <cell r="I110" t="str">
            <v>20603</v>
          </cell>
          <cell r="K110" t="str">
            <v>405-01</v>
          </cell>
          <cell r="L110" t="str">
            <v>자산취득비</v>
          </cell>
          <cell r="M110" t="str">
            <v>자산및물품취득비</v>
          </cell>
        </row>
        <row r="111">
          <cell r="A111" t="str">
            <v>철도운영과</v>
          </cell>
          <cell r="B111" t="str">
            <v>건설교통위원회</v>
          </cell>
          <cell r="C111" t="str">
            <v>철도항만물류국</v>
          </cell>
          <cell r="E111" t="str">
            <v>철도항만물류국</v>
          </cell>
          <cell r="F111" t="str">
            <v>철도운영과</v>
          </cell>
          <cell r="G111" t="str">
            <v>건설교통위원회</v>
          </cell>
          <cell r="I111" t="str">
            <v>20602</v>
          </cell>
          <cell r="K111" t="str">
            <v>405-02</v>
          </cell>
          <cell r="L111" t="str">
            <v>자산취득비</v>
          </cell>
          <cell r="M111" t="str">
            <v>도서구입비</v>
          </cell>
        </row>
        <row r="112">
          <cell r="A112" t="str">
            <v>물류항만과</v>
          </cell>
          <cell r="B112" t="str">
            <v>건설교통위원회</v>
          </cell>
          <cell r="C112" t="str">
            <v>철도항만물류국</v>
          </cell>
          <cell r="E112" t="str">
            <v>철도항만물류국</v>
          </cell>
          <cell r="F112" t="str">
            <v>물류항만과</v>
          </cell>
          <cell r="G112" t="str">
            <v>건설교통위원회</v>
          </cell>
          <cell r="I112" t="str">
            <v>20604</v>
          </cell>
          <cell r="K112" t="str">
            <v>406-01</v>
          </cell>
          <cell r="L112" t="str">
            <v>기타자본이전</v>
          </cell>
          <cell r="M112" t="str">
            <v>기타자본이전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축산동물복지국</v>
          </cell>
          <cell r="E113" t="str">
            <v>축산동물복지국</v>
          </cell>
          <cell r="F113" t="str">
            <v>축산정책과</v>
          </cell>
          <cell r="G113" t="str">
            <v>농정해양위원회</v>
          </cell>
          <cell r="I113" t="str">
            <v>20701</v>
          </cell>
          <cell r="K113" t="str">
            <v>407-01</v>
          </cell>
          <cell r="L113" t="str">
            <v>국외자본이전</v>
          </cell>
          <cell r="M113" t="str">
            <v>국외자본이전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축산동물복지국</v>
          </cell>
          <cell r="E114" t="str">
            <v>축산동물복지국</v>
          </cell>
          <cell r="F114" t="str">
            <v>동물방역위생과</v>
          </cell>
          <cell r="G114" t="str">
            <v>농정해양위원회</v>
          </cell>
          <cell r="I114" t="str">
            <v>20702</v>
          </cell>
          <cell r="K114" t="str">
            <v>501-01</v>
          </cell>
          <cell r="L114" t="str">
            <v>융자금</v>
          </cell>
          <cell r="M114" t="str">
            <v>민간융자금</v>
          </cell>
        </row>
        <row r="115">
          <cell r="A115" t="str">
            <v>동물복지과</v>
          </cell>
          <cell r="B115" t="str">
            <v>농정해양위원회</v>
          </cell>
          <cell r="C115" t="str">
            <v>축산동물복지국</v>
          </cell>
          <cell r="E115" t="str">
            <v>축산동물복지국</v>
          </cell>
          <cell r="F115" t="str">
            <v>동물복지과</v>
          </cell>
          <cell r="G115" t="str">
            <v>농정해양위원회</v>
          </cell>
          <cell r="I115" t="str">
            <v>20703</v>
          </cell>
          <cell r="K115" t="str">
            <v>501-02</v>
          </cell>
          <cell r="L115" t="str">
            <v>융자금</v>
          </cell>
          <cell r="M115" t="str">
            <v>통화금융기관융자금</v>
          </cell>
        </row>
        <row r="116">
          <cell r="A116" t="str">
            <v>반려동물과</v>
          </cell>
          <cell r="B116" t="str">
            <v>농정해양위원회</v>
          </cell>
          <cell r="C116" t="str">
            <v>축산동물복지국</v>
          </cell>
          <cell r="E116" t="str">
            <v>축산동물복지국</v>
          </cell>
          <cell r="F116" t="str">
            <v>반려동물과</v>
          </cell>
          <cell r="G116" t="str">
            <v>농정해양위원회</v>
          </cell>
          <cell r="I116" t="str">
            <v>20704</v>
          </cell>
          <cell r="K116" t="str">
            <v>501-03</v>
          </cell>
          <cell r="L116" t="str">
            <v>융자금</v>
          </cell>
          <cell r="M116" t="str">
            <v>공사·공단등융자금</v>
          </cell>
        </row>
        <row r="117">
          <cell r="A117" t="str">
            <v>동물위생시험소</v>
          </cell>
          <cell r="B117" t="str">
            <v>농정해양위원회</v>
          </cell>
          <cell r="C117" t="str">
            <v>축산동물복지국</v>
          </cell>
          <cell r="E117" t="str">
            <v>축산동물복지국</v>
          </cell>
          <cell r="F117" t="str">
            <v>동물위생시험소</v>
          </cell>
          <cell r="G117" t="str">
            <v>농정해양위원회</v>
          </cell>
          <cell r="I117" t="str">
            <v>20705</v>
          </cell>
          <cell r="K117" t="str">
            <v>501-04</v>
          </cell>
          <cell r="L117" t="str">
            <v>융자금</v>
          </cell>
          <cell r="M117" t="str">
            <v>시·군·구융자금</v>
          </cell>
        </row>
        <row r="118">
          <cell r="A118" t="str">
            <v>북부동물위생시험소</v>
          </cell>
          <cell r="B118" t="str">
            <v>농정해양위원회</v>
          </cell>
          <cell r="C118" t="str">
            <v>축산동물복지국</v>
          </cell>
          <cell r="E118" t="str">
            <v>축산동물복지국</v>
          </cell>
          <cell r="F118" t="str">
            <v>북부동물위생시험소</v>
          </cell>
          <cell r="G118" t="str">
            <v>농정해양위원회</v>
          </cell>
          <cell r="I118" t="str">
            <v>20706</v>
          </cell>
          <cell r="K118" t="str">
            <v>502-01</v>
          </cell>
          <cell r="L118" t="str">
            <v>출자금</v>
          </cell>
          <cell r="M118" t="str">
            <v>출자금</v>
          </cell>
        </row>
        <row r="119">
          <cell r="A119" t="str">
            <v>축산진흥센터</v>
          </cell>
          <cell r="B119" t="str">
            <v>농정해양위원회</v>
          </cell>
          <cell r="C119" t="str">
            <v>축산동물복지국</v>
          </cell>
          <cell r="E119" t="str">
            <v>축산동물복지국</v>
          </cell>
          <cell r="F119" t="str">
            <v>축산진흥센터</v>
          </cell>
          <cell r="G119" t="str">
            <v>농정해양위원회</v>
          </cell>
          <cell r="I119" t="str">
            <v>20707</v>
          </cell>
          <cell r="K119" t="str">
            <v>601-01</v>
          </cell>
          <cell r="L119" t="str">
            <v>차입금원금상환</v>
          </cell>
          <cell r="M119" t="str">
            <v>시·군·구지역개발기금차입금원금상환</v>
          </cell>
        </row>
        <row r="120">
          <cell r="A120" t="str">
            <v>경기국제공항추진단</v>
          </cell>
          <cell r="B120" t="str">
            <v>건설교통위원회</v>
          </cell>
          <cell r="C120" t="str">
            <v>경기국제공항추진단</v>
          </cell>
          <cell r="E120" t="str">
            <v>경기국제공항추진단</v>
          </cell>
          <cell r="F120" t="str">
            <v>경기국제공항추진단</v>
          </cell>
          <cell r="G120" t="str">
            <v>건설교통위원회</v>
          </cell>
          <cell r="I120">
            <v>50901</v>
          </cell>
          <cell r="K120" t="str">
            <v>601-02</v>
          </cell>
          <cell r="L120" t="str">
            <v>차입금원금상환</v>
          </cell>
          <cell r="M120" t="str">
            <v>통화금융기관차입금원금상환</v>
          </cell>
        </row>
        <row r="121">
          <cell r="A121" t="str">
            <v>소통협치관</v>
          </cell>
          <cell r="B121" t="str">
            <v>의회운영위원회</v>
          </cell>
          <cell r="C121" t="str">
            <v>소통협치관</v>
          </cell>
          <cell r="E121" t="str">
            <v>소통협치관</v>
          </cell>
          <cell r="F121" t="str">
            <v>소통협치관</v>
          </cell>
          <cell r="G121" t="str">
            <v>의회운영위원회</v>
          </cell>
          <cell r="I121" t="str">
            <v>30201</v>
          </cell>
          <cell r="K121" t="str">
            <v>601-03</v>
          </cell>
          <cell r="L121" t="str">
            <v>차입금원금상환</v>
          </cell>
          <cell r="M121" t="str">
            <v>중앙정부차입금원금상환</v>
          </cell>
        </row>
        <row r="122">
          <cell r="A122" t="str">
            <v>중앙협력본부</v>
          </cell>
          <cell r="B122" t="str">
            <v>의회운영위원회</v>
          </cell>
          <cell r="C122" t="str">
            <v>소통협치관</v>
          </cell>
          <cell r="E122" t="str">
            <v>소통협치관</v>
          </cell>
          <cell r="F122" t="str">
            <v>중앙협력본부</v>
          </cell>
          <cell r="G122" t="str">
            <v>의회운영위원회</v>
          </cell>
          <cell r="I122" t="str">
            <v>30202</v>
          </cell>
          <cell r="K122" t="str">
            <v>601-04</v>
          </cell>
          <cell r="L122" t="str">
            <v>차입금원금상환</v>
          </cell>
          <cell r="M122" t="str">
            <v>지방채증권원금상환</v>
          </cell>
        </row>
        <row r="123">
          <cell r="A123" t="str">
            <v>일자리경제정책과</v>
          </cell>
          <cell r="B123" t="str">
            <v>경제노동위원회</v>
          </cell>
          <cell r="C123" t="str">
            <v>경제실</v>
          </cell>
          <cell r="E123" t="str">
            <v>경제실</v>
          </cell>
          <cell r="F123" t="str">
            <v>일자리경제정책과</v>
          </cell>
          <cell r="G123" t="str">
            <v>경제노동위원회</v>
          </cell>
          <cell r="I123" t="str">
            <v>30301</v>
          </cell>
          <cell r="K123" t="str">
            <v>601-05</v>
          </cell>
          <cell r="L123" t="str">
            <v>차입금원금상환</v>
          </cell>
          <cell r="M123" t="str">
            <v>기타국내차입금원금상환</v>
          </cell>
        </row>
        <row r="124">
          <cell r="A124" t="str">
            <v>지역금융과</v>
          </cell>
          <cell r="B124" t="str">
            <v>경제노동위원회</v>
          </cell>
          <cell r="C124" t="str">
            <v>경제실</v>
          </cell>
          <cell r="E124" t="str">
            <v>경제실</v>
          </cell>
          <cell r="F124" t="str">
            <v>지역금융과</v>
          </cell>
          <cell r="G124" t="str">
            <v>경제노동위원회</v>
          </cell>
          <cell r="I124" t="str">
            <v>30302</v>
          </cell>
          <cell r="K124" t="str">
            <v>601-06</v>
          </cell>
          <cell r="L124" t="str">
            <v>차입금원금상환</v>
          </cell>
          <cell r="M124" t="str">
            <v>차관상환</v>
          </cell>
        </row>
        <row r="125">
          <cell r="A125" t="str">
            <v>공정경제과</v>
          </cell>
          <cell r="B125" t="str">
            <v>경제노동위원회</v>
          </cell>
          <cell r="C125" t="str">
            <v>경제실</v>
          </cell>
          <cell r="E125" t="str">
            <v>경제실</v>
          </cell>
          <cell r="F125" t="str">
            <v>공정경제과</v>
          </cell>
          <cell r="G125" t="str">
            <v>경제노동위원회</v>
          </cell>
          <cell r="I125" t="str">
            <v>30303</v>
          </cell>
          <cell r="K125" t="str">
            <v>601-07</v>
          </cell>
          <cell r="L125" t="str">
            <v>차입금원금상환</v>
          </cell>
          <cell r="M125" t="str">
            <v>기타해외채무상환</v>
          </cell>
        </row>
        <row r="126">
          <cell r="A126" t="str">
            <v>기업육성과</v>
          </cell>
          <cell r="B126" t="str">
            <v>경제노동위원회</v>
          </cell>
          <cell r="C126" t="str">
            <v>경제실</v>
          </cell>
          <cell r="E126" t="str">
            <v>경제실</v>
          </cell>
          <cell r="F126" t="str">
            <v>기업육성과</v>
          </cell>
          <cell r="G126" t="str">
            <v>경제노동위원회</v>
          </cell>
          <cell r="I126" t="str">
            <v>30304</v>
          </cell>
          <cell r="K126" t="str">
            <v>602-01</v>
          </cell>
          <cell r="L126" t="str">
            <v>예치금</v>
          </cell>
          <cell r="M126" t="str">
            <v>일반예치금</v>
          </cell>
        </row>
        <row r="127">
          <cell r="A127" t="str">
            <v>산업입지과</v>
          </cell>
          <cell r="B127" t="str">
            <v>경제노동위원회</v>
          </cell>
          <cell r="C127" t="str">
            <v>경제실</v>
          </cell>
          <cell r="E127" t="str">
            <v>경제실</v>
          </cell>
          <cell r="F127" t="str">
            <v>산업입지과</v>
          </cell>
          <cell r="G127" t="str">
            <v>경제노동위원회</v>
          </cell>
          <cell r="I127" t="str">
            <v>30305</v>
          </cell>
          <cell r="K127" t="str">
            <v>602-02</v>
          </cell>
          <cell r="L127" t="str">
            <v>예치금</v>
          </cell>
          <cell r="M127" t="str">
            <v>의무예치금</v>
          </cell>
        </row>
        <row r="128">
          <cell r="A128" t="str">
            <v>소상공인과</v>
          </cell>
          <cell r="B128" t="str">
            <v>경제노동위원회</v>
          </cell>
          <cell r="C128" t="str">
            <v>경제실</v>
          </cell>
          <cell r="E128" t="str">
            <v>경제실</v>
          </cell>
          <cell r="F128" t="str">
            <v>소상공인과</v>
          </cell>
          <cell r="G128" t="str">
            <v>경제노동위원회</v>
          </cell>
          <cell r="I128" t="str">
            <v>30306</v>
          </cell>
          <cell r="K128" t="str">
            <v>701-01</v>
          </cell>
          <cell r="L128" t="str">
            <v>기타회계 등 전출금</v>
          </cell>
          <cell r="M128" t="str">
            <v>기타회계전출금</v>
          </cell>
        </row>
        <row r="129">
          <cell r="A129" t="str">
            <v>규제개혁과</v>
          </cell>
          <cell r="B129" t="str">
            <v>경제노동위원회</v>
          </cell>
          <cell r="C129" t="str">
            <v>경제실</v>
          </cell>
          <cell r="E129" t="str">
            <v>경제실</v>
          </cell>
          <cell r="F129" t="str">
            <v>규제개혁과</v>
          </cell>
          <cell r="G129" t="str">
            <v>경제노동위원회</v>
          </cell>
          <cell r="I129" t="str">
            <v>30309</v>
          </cell>
          <cell r="K129" t="str">
            <v>701-02</v>
          </cell>
          <cell r="L129" t="str">
            <v>기타회계 등 전출금</v>
          </cell>
          <cell r="M129" t="str">
            <v>공기업특별회계경상전출금</v>
          </cell>
        </row>
        <row r="130">
          <cell r="A130" t="str">
            <v>AI프런티어정책과</v>
          </cell>
          <cell r="B130" t="str">
            <v>미래과학협력위원회</v>
          </cell>
          <cell r="C130" t="str">
            <v>AI국</v>
          </cell>
          <cell r="E130" t="str">
            <v>AI국</v>
          </cell>
          <cell r="F130" t="str">
            <v>AI프런티어정책과</v>
          </cell>
          <cell r="G130" t="str">
            <v>미래과학협력위원회</v>
          </cell>
          <cell r="I130" t="str">
            <v>30701</v>
          </cell>
          <cell r="K130" t="str">
            <v>701-03</v>
          </cell>
          <cell r="L130" t="str">
            <v>기타회계 등 전출금</v>
          </cell>
          <cell r="M130" t="str">
            <v>공기업특별회계자본전출금</v>
          </cell>
        </row>
        <row r="131">
          <cell r="A131" t="str">
            <v>AI산업육성과</v>
          </cell>
          <cell r="B131" t="str">
            <v>미래과학협력위원회</v>
          </cell>
          <cell r="C131" t="str">
            <v>AI국</v>
          </cell>
          <cell r="E131" t="str">
            <v>AI국</v>
          </cell>
          <cell r="F131" t="str">
            <v>AI산업육성과</v>
          </cell>
          <cell r="G131" t="str">
            <v>미래과학협력위원회</v>
          </cell>
          <cell r="I131" t="str">
            <v>30504</v>
          </cell>
          <cell r="K131" t="str">
            <v>702-01</v>
          </cell>
          <cell r="L131" t="str">
            <v>기금전출금</v>
          </cell>
          <cell r="M131" t="str">
            <v>기금전출금</v>
          </cell>
        </row>
        <row r="132">
          <cell r="A132" t="str">
            <v>AI데이터행정과</v>
          </cell>
          <cell r="B132" t="str">
            <v>미래과학협력위원회</v>
          </cell>
          <cell r="C132" t="str">
            <v>AI국</v>
          </cell>
          <cell r="E132" t="str">
            <v>AI국</v>
          </cell>
          <cell r="F132" t="str">
            <v>AI데이터행정과</v>
          </cell>
          <cell r="G132" t="str">
            <v>미래과학협력위원회</v>
          </cell>
          <cell r="I132" t="str">
            <v>10508</v>
          </cell>
          <cell r="K132" t="str">
            <v>703-01</v>
          </cell>
          <cell r="L132" t="str">
            <v>교육비특별회계전출금</v>
          </cell>
          <cell r="M132" t="str">
            <v>시·도법정전출금</v>
          </cell>
        </row>
        <row r="133">
          <cell r="A133" t="str">
            <v>AI인프라과</v>
          </cell>
          <cell r="B133" t="str">
            <v>미래과학협력위원회</v>
          </cell>
          <cell r="C133" t="str">
            <v>AI국</v>
          </cell>
          <cell r="E133" t="str">
            <v>AI국</v>
          </cell>
          <cell r="F133" t="str">
            <v>AI인프라과</v>
          </cell>
          <cell r="G133" t="str">
            <v>미래과학협력위원회</v>
          </cell>
          <cell r="I133" t="str">
            <v>10509</v>
          </cell>
          <cell r="K133" t="str">
            <v>703-02</v>
          </cell>
          <cell r="L133" t="str">
            <v>교육비특별회계전출금</v>
          </cell>
          <cell r="M133" t="str">
            <v>시·도비법정전출금</v>
          </cell>
        </row>
        <row r="134">
          <cell r="A134" t="str">
            <v>투자진흥과</v>
          </cell>
          <cell r="B134" t="str">
            <v>미래과학협력위원회</v>
          </cell>
          <cell r="C134" t="str">
            <v>국제협력국</v>
          </cell>
          <cell r="E134" t="str">
            <v>국제협력국</v>
          </cell>
          <cell r="F134" t="str">
            <v>투자진흥과</v>
          </cell>
          <cell r="G134" t="str">
            <v>미래과학협력위원회</v>
          </cell>
          <cell r="I134" t="str">
            <v>30801</v>
          </cell>
          <cell r="K134" t="str">
            <v>704-01</v>
          </cell>
          <cell r="L134" t="str">
            <v>예탁금</v>
          </cell>
          <cell r="M134" t="str">
            <v>예탁금</v>
          </cell>
        </row>
        <row r="135">
          <cell r="A135" t="str">
            <v>국제협력정책과</v>
          </cell>
          <cell r="B135" t="str">
            <v>미래과학협력위원회</v>
          </cell>
          <cell r="C135" t="str">
            <v>국제협력국</v>
          </cell>
          <cell r="E135" t="str">
            <v>국제협력국</v>
          </cell>
          <cell r="F135" t="str">
            <v>국제협력정책과</v>
          </cell>
          <cell r="G135" t="str">
            <v>미래과학협력위원회</v>
          </cell>
          <cell r="I135" t="str">
            <v>30307</v>
          </cell>
          <cell r="K135" t="str">
            <v>705-01</v>
          </cell>
          <cell r="L135" t="str">
            <v>예수금 원리금상환</v>
          </cell>
          <cell r="M135" t="str">
            <v>예수금원금상환</v>
          </cell>
        </row>
        <row r="136">
          <cell r="A136" t="str">
            <v>국제통상과</v>
          </cell>
          <cell r="B136" t="str">
            <v>미래과학협력위원회</v>
          </cell>
          <cell r="C136" t="str">
            <v>국제협력국</v>
          </cell>
          <cell r="E136" t="str">
            <v>국제협력국</v>
          </cell>
          <cell r="F136" t="str">
            <v>국제통상과</v>
          </cell>
          <cell r="G136" t="str">
            <v>미래과학협력위원회</v>
          </cell>
          <cell r="I136" t="str">
            <v>30308</v>
          </cell>
          <cell r="K136" t="str">
            <v>705-02</v>
          </cell>
          <cell r="L136" t="str">
            <v>예수금 원리금상환</v>
          </cell>
          <cell r="M136" t="str">
            <v>예수금이자상환</v>
          </cell>
        </row>
        <row r="137">
          <cell r="A137" t="str">
            <v>기후환경정책과</v>
          </cell>
          <cell r="B137" t="str">
            <v>도시환경위원회</v>
          </cell>
          <cell r="C137" t="str">
            <v>기후환경에너지국</v>
          </cell>
          <cell r="E137" t="str">
            <v>기후환경에너지국</v>
          </cell>
          <cell r="F137" t="str">
            <v>기후환경정책과</v>
          </cell>
          <cell r="G137" t="str">
            <v>도시환경위원회</v>
          </cell>
          <cell r="I137" t="str">
            <v>30401</v>
          </cell>
          <cell r="K137" t="str">
            <v>705-03</v>
          </cell>
          <cell r="L137" t="str">
            <v>예수금 원리금상환</v>
          </cell>
          <cell r="M137" t="str">
            <v>시·도지역개발기금예수금원금상환</v>
          </cell>
        </row>
        <row r="138">
          <cell r="A138" t="str">
            <v>기후환경관리과</v>
          </cell>
          <cell r="B138" t="str">
            <v>도시환경위원회</v>
          </cell>
          <cell r="C138" t="str">
            <v>기후환경에너지국</v>
          </cell>
          <cell r="E138" t="str">
            <v>기후환경에너지국</v>
          </cell>
          <cell r="F138" t="str">
            <v>기후환경관리과</v>
          </cell>
          <cell r="G138" t="str">
            <v>도시환경위원회</v>
          </cell>
          <cell r="I138" t="str">
            <v>30402</v>
          </cell>
          <cell r="K138" t="str">
            <v>705-04</v>
          </cell>
          <cell r="L138" t="str">
            <v>예수금 원리금상환</v>
          </cell>
          <cell r="M138" t="str">
            <v>시·도지역개발기금예수금이자상환</v>
          </cell>
        </row>
        <row r="139">
          <cell r="A139" t="str">
            <v>에너지산업과</v>
          </cell>
          <cell r="B139" t="str">
            <v>도시환경위원회</v>
          </cell>
          <cell r="C139" t="str">
            <v>기후환경에너지국</v>
          </cell>
          <cell r="E139" t="str">
            <v>기후환경에너지국</v>
          </cell>
          <cell r="F139" t="str">
            <v>에너지산업과</v>
          </cell>
          <cell r="G139" t="str">
            <v>도시환경위원회</v>
          </cell>
          <cell r="I139" t="str">
            <v>30403</v>
          </cell>
          <cell r="K139" t="str">
            <v>706-01</v>
          </cell>
          <cell r="L139" t="str">
            <v>기타내부거래</v>
          </cell>
          <cell r="M139" t="str">
            <v>감가상각비</v>
          </cell>
        </row>
        <row r="140">
          <cell r="A140" t="str">
            <v>에너지관리과</v>
          </cell>
          <cell r="B140" t="str">
            <v>도시환경위원회</v>
          </cell>
          <cell r="C140" t="str">
            <v>기후환경에너지국</v>
          </cell>
          <cell r="E140" t="str">
            <v>기후환경에너지국</v>
          </cell>
          <cell r="F140" t="str">
            <v>에너지관리과</v>
          </cell>
          <cell r="G140" t="str">
            <v>도시환경위원회</v>
          </cell>
          <cell r="I140" t="str">
            <v>30404</v>
          </cell>
          <cell r="K140" t="str">
            <v>706-02</v>
          </cell>
          <cell r="L140" t="str">
            <v>기타내부거래</v>
          </cell>
          <cell r="M140" t="str">
            <v>당기순이익</v>
          </cell>
        </row>
        <row r="141">
          <cell r="A141" t="str">
            <v>대기환경관리과</v>
          </cell>
          <cell r="B141" t="str">
            <v>도시환경위원회</v>
          </cell>
          <cell r="C141" t="str">
            <v>기후환경에너지국</v>
          </cell>
          <cell r="E141" t="str">
            <v>기후환경에너지국</v>
          </cell>
          <cell r="F141" t="str">
            <v>대기환경관리과</v>
          </cell>
          <cell r="G141" t="str">
            <v>도시환경위원회</v>
          </cell>
          <cell r="I141" t="str">
            <v>30405</v>
          </cell>
          <cell r="K141" t="str">
            <v>706-03</v>
          </cell>
          <cell r="L141" t="str">
            <v>기타내부거래</v>
          </cell>
          <cell r="M141" t="str">
            <v>적립금</v>
          </cell>
        </row>
        <row r="142">
          <cell r="A142" t="str">
            <v>환경보건안전과</v>
          </cell>
          <cell r="B142" t="str">
            <v>도시환경위원회</v>
          </cell>
          <cell r="C142" t="str">
            <v>기후환경에너지국</v>
          </cell>
          <cell r="E142" t="str">
            <v>기후환경에너지국</v>
          </cell>
          <cell r="F142" t="str">
            <v>환경보건안전과</v>
          </cell>
          <cell r="G142" t="str">
            <v>도시환경위원회</v>
          </cell>
          <cell r="I142" t="str">
            <v>30406</v>
          </cell>
          <cell r="K142" t="str">
            <v>801-01</v>
          </cell>
          <cell r="L142" t="str">
            <v>예비비</v>
          </cell>
          <cell r="M142" t="str">
            <v>일반예비비</v>
          </cell>
        </row>
        <row r="143">
          <cell r="A143" t="str">
            <v>자원순환과</v>
          </cell>
          <cell r="B143" t="str">
            <v>도시환경위원회</v>
          </cell>
          <cell r="C143" t="str">
            <v>기후환경에너지국</v>
          </cell>
          <cell r="E143" t="str">
            <v>기후환경에너지국</v>
          </cell>
          <cell r="F143" t="str">
            <v>자원순환과</v>
          </cell>
          <cell r="G143" t="str">
            <v>도시환경위원회</v>
          </cell>
          <cell r="I143" t="str">
            <v>30407</v>
          </cell>
          <cell r="K143" t="str">
            <v>801-02</v>
          </cell>
          <cell r="L143" t="str">
            <v>예비비</v>
          </cell>
          <cell r="M143" t="str">
            <v>재해·재난목적예비비</v>
          </cell>
        </row>
        <row r="144">
          <cell r="A144" t="str">
            <v>산림녹지과</v>
          </cell>
          <cell r="B144" t="str">
            <v>농정해양위원회</v>
          </cell>
          <cell r="C144" t="str">
            <v>기후환경에너지국</v>
          </cell>
          <cell r="E144" t="str">
            <v>기후환경에너지국</v>
          </cell>
          <cell r="F144" t="str">
            <v>산림녹지과</v>
          </cell>
          <cell r="G144" t="str">
            <v>농정해양위원회</v>
          </cell>
          <cell r="I144" t="str">
            <v>30408</v>
          </cell>
          <cell r="K144" t="str">
            <v>801-03</v>
          </cell>
          <cell r="L144" t="str">
            <v>예비비</v>
          </cell>
          <cell r="M144" t="str">
            <v>내부유보금</v>
          </cell>
        </row>
        <row r="145">
          <cell r="A145" t="str">
            <v>정원산업과</v>
          </cell>
          <cell r="B145" t="str">
            <v>도시환경위원회</v>
          </cell>
          <cell r="C145" t="str">
            <v>기후환경에너지국</v>
          </cell>
          <cell r="E145" t="str">
            <v>기후환경에너지국</v>
          </cell>
          <cell r="F145" t="str">
            <v>정원산업과</v>
          </cell>
          <cell r="G145" t="str">
            <v>도시환경위원회</v>
          </cell>
          <cell r="I145" t="str">
            <v>30409</v>
          </cell>
          <cell r="K145" t="str">
            <v>802-01</v>
          </cell>
          <cell r="L145" t="str">
            <v>반환금기타</v>
          </cell>
          <cell r="M145" t="str">
            <v>국고보조금반환금</v>
          </cell>
        </row>
        <row r="146">
          <cell r="A146" t="str">
            <v>산림환경연구소</v>
          </cell>
          <cell r="B146" t="str">
            <v>농정해양위원회</v>
          </cell>
          <cell r="C146" t="str">
            <v>기후환경에너지국</v>
          </cell>
          <cell r="E146" t="str">
            <v>기후환경에너지국</v>
          </cell>
          <cell r="F146" t="str">
            <v>산림환경연구소</v>
          </cell>
          <cell r="G146" t="str">
            <v>농정해양위원회</v>
          </cell>
          <cell r="I146" t="str">
            <v>30410</v>
          </cell>
          <cell r="K146" t="str">
            <v>802-02</v>
          </cell>
          <cell r="L146" t="str">
            <v>반환금기타</v>
          </cell>
          <cell r="M146" t="str">
            <v>시·도비보조금반환금</v>
          </cell>
        </row>
        <row r="147">
          <cell r="A147" t="str">
            <v>디지털혁신과</v>
          </cell>
          <cell r="B147" t="str">
            <v>미래과학협력위원회</v>
          </cell>
          <cell r="C147" t="str">
            <v>미래성장산업국</v>
          </cell>
          <cell r="E147" t="str">
            <v>미래성장산업국</v>
          </cell>
          <cell r="F147" t="str">
            <v>디지털혁신과</v>
          </cell>
          <cell r="G147" t="str">
            <v>미래과학협력위원회</v>
          </cell>
          <cell r="I147" t="str">
            <v>30501</v>
          </cell>
          <cell r="K147" t="str">
            <v>802-03</v>
          </cell>
          <cell r="L147" t="str">
            <v>반환금기타</v>
          </cell>
          <cell r="M147" t="str">
            <v>기타반환금 등</v>
          </cell>
        </row>
        <row r="148">
          <cell r="A148" t="str">
            <v>벤처스타트업과</v>
          </cell>
          <cell r="B148" t="str">
            <v>미래과학협력위원회</v>
          </cell>
          <cell r="C148" t="str">
            <v>미래성장산업국</v>
          </cell>
          <cell r="E148" t="str">
            <v>미래성장산업국</v>
          </cell>
          <cell r="F148" t="str">
            <v>벤처스타트업과</v>
          </cell>
          <cell r="G148" t="str">
            <v>미래과학협력위원회</v>
          </cell>
          <cell r="I148" t="str">
            <v>30502</v>
          </cell>
          <cell r="K148" t="str">
            <v>802-04</v>
          </cell>
          <cell r="L148" t="str">
            <v>반환금기타</v>
          </cell>
          <cell r="M148" t="str">
            <v>잡손금</v>
          </cell>
        </row>
        <row r="149">
          <cell r="A149" t="str">
            <v>반도체산업과</v>
          </cell>
          <cell r="B149" t="str">
            <v>미래과학협력위원회</v>
          </cell>
          <cell r="C149" t="str">
            <v>미래성장산업국</v>
          </cell>
          <cell r="E149" t="str">
            <v>미래성장산업국</v>
          </cell>
          <cell r="F149" t="str">
            <v>반도체산업과</v>
          </cell>
          <cell r="G149" t="str">
            <v>미래과학협력위원회</v>
          </cell>
          <cell r="I149" t="str">
            <v>30503</v>
          </cell>
        </row>
        <row r="150">
          <cell r="A150" t="str">
            <v>첨단모빌리티산업과</v>
          </cell>
          <cell r="B150" t="str">
            <v>미래과학협력위원회</v>
          </cell>
          <cell r="C150" t="str">
            <v>미래성장산업국</v>
          </cell>
          <cell r="E150" t="str">
            <v>미래성장산업국</v>
          </cell>
          <cell r="F150" t="str">
            <v>첨단모빌리티산업과</v>
          </cell>
          <cell r="G150" t="str">
            <v>미래과학협력위원회</v>
          </cell>
          <cell r="I150" t="str">
            <v>30505</v>
          </cell>
        </row>
        <row r="151">
          <cell r="A151" t="str">
            <v>바이오산업과</v>
          </cell>
          <cell r="B151" t="str">
            <v>미래과학협력위원회</v>
          </cell>
          <cell r="C151" t="str">
            <v>미래성장산업국</v>
          </cell>
          <cell r="E151" t="str">
            <v>미래성장산업국</v>
          </cell>
          <cell r="F151" t="str">
            <v>바이오산업과</v>
          </cell>
          <cell r="G151" t="str">
            <v>미래과학협력위원회</v>
          </cell>
          <cell r="I151" t="str">
            <v>30506</v>
          </cell>
        </row>
        <row r="152">
          <cell r="A152" t="str">
            <v>사회혁신기획과</v>
          </cell>
          <cell r="B152" t="str">
            <v>경제노동위원회</v>
          </cell>
          <cell r="C152" t="str">
            <v>사회혁신경제국</v>
          </cell>
          <cell r="E152" t="str">
            <v>사회혁신경제국</v>
          </cell>
          <cell r="F152" t="str">
            <v>사회혁신기획과</v>
          </cell>
          <cell r="G152" t="str">
            <v>경제노동위원회</v>
          </cell>
          <cell r="I152" t="str">
            <v>30601</v>
          </cell>
        </row>
        <row r="153">
          <cell r="A153" t="str">
            <v>베이비부머기회과</v>
          </cell>
          <cell r="B153" t="str">
            <v>경제노동위원회</v>
          </cell>
          <cell r="C153" t="str">
            <v>사회혁신경제국</v>
          </cell>
          <cell r="E153" t="str">
            <v>사회혁신경제국</v>
          </cell>
          <cell r="F153" t="str">
            <v>베이비부머기회과</v>
          </cell>
          <cell r="G153" t="str">
            <v>경제노동위원회</v>
          </cell>
          <cell r="I153" t="str">
            <v>30603</v>
          </cell>
        </row>
        <row r="154">
          <cell r="A154" t="str">
            <v>사회적경제육성과</v>
          </cell>
          <cell r="B154" t="str">
            <v>경제노동위원회</v>
          </cell>
          <cell r="C154" t="str">
            <v>사회혁신경제국</v>
          </cell>
          <cell r="E154" t="str">
            <v>사회혁신경제국</v>
          </cell>
          <cell r="F154" t="str">
            <v>사회적경제육성과</v>
          </cell>
          <cell r="G154" t="str">
            <v>경제노동위원회</v>
          </cell>
          <cell r="I154" t="str">
            <v>30604</v>
          </cell>
        </row>
        <row r="155">
          <cell r="A155" t="str">
            <v>공동체지원과</v>
          </cell>
          <cell r="B155" t="str">
            <v>경제노동위원회</v>
          </cell>
          <cell r="C155" t="str">
            <v>사회혁신경제국</v>
          </cell>
          <cell r="E155" t="str">
            <v>사회혁신경제국</v>
          </cell>
          <cell r="F155" t="str">
            <v>공동체지원과</v>
          </cell>
          <cell r="G155" t="str">
            <v>경제노동위원회</v>
          </cell>
          <cell r="I155" t="str">
            <v>30605</v>
          </cell>
        </row>
        <row r="156">
          <cell r="A156" t="str">
            <v>소방행정과</v>
          </cell>
          <cell r="B156" t="str">
            <v>안전행정위원회</v>
          </cell>
          <cell r="C156" t="str">
            <v>소방재난본부</v>
          </cell>
          <cell r="E156" t="str">
            <v>소방재난본부</v>
          </cell>
          <cell r="F156" t="str">
            <v>소방행정과</v>
          </cell>
          <cell r="G156" t="str">
            <v>안전행정위원회</v>
          </cell>
          <cell r="I156" t="str">
            <v>40101</v>
          </cell>
        </row>
        <row r="157">
          <cell r="A157" t="str">
            <v>화재예방과</v>
          </cell>
          <cell r="B157" t="str">
            <v>안전행정위원회</v>
          </cell>
          <cell r="C157" t="str">
            <v>소방재난본부</v>
          </cell>
          <cell r="E157" t="str">
            <v>소방재난본부</v>
          </cell>
          <cell r="F157" t="str">
            <v>화재예방과</v>
          </cell>
          <cell r="G157" t="str">
            <v>안전행정위원회</v>
          </cell>
          <cell r="I157" t="str">
            <v>40102</v>
          </cell>
        </row>
        <row r="158">
          <cell r="A158" t="str">
            <v>재난대응과</v>
          </cell>
          <cell r="B158" t="str">
            <v>안전행정위원회</v>
          </cell>
          <cell r="C158" t="str">
            <v>소방재난본부</v>
          </cell>
          <cell r="E158" t="str">
            <v>소방재난본부</v>
          </cell>
          <cell r="F158" t="str">
            <v>재난대응과</v>
          </cell>
          <cell r="G158" t="str">
            <v>안전행정위원회</v>
          </cell>
          <cell r="I158" t="str">
            <v>40103</v>
          </cell>
        </row>
        <row r="159">
          <cell r="A159" t="str">
            <v>구조구급과</v>
          </cell>
          <cell r="B159" t="str">
            <v>안전행정위원회</v>
          </cell>
          <cell r="C159" t="str">
            <v>소방재난본부</v>
          </cell>
          <cell r="E159" t="str">
            <v>소방재난본부</v>
          </cell>
          <cell r="F159" t="str">
            <v>구조구급과</v>
          </cell>
          <cell r="G159" t="str">
            <v>안전행정위원회</v>
          </cell>
          <cell r="I159" t="str">
            <v>40104</v>
          </cell>
        </row>
        <row r="160">
          <cell r="A160" t="str">
            <v>소방감사과</v>
          </cell>
          <cell r="B160" t="str">
            <v>안전행정위원회</v>
          </cell>
          <cell r="C160" t="str">
            <v>소방재난본부</v>
          </cell>
          <cell r="E160" t="str">
            <v>소방재난본부</v>
          </cell>
          <cell r="F160" t="str">
            <v>소방감사과</v>
          </cell>
          <cell r="G160" t="str">
            <v>안전행정위원회</v>
          </cell>
          <cell r="I160" t="str">
            <v>40105</v>
          </cell>
        </row>
        <row r="161">
          <cell r="A161" t="str">
            <v>119종합상황실</v>
          </cell>
          <cell r="B161" t="str">
            <v>안전행정위원회</v>
          </cell>
          <cell r="C161" t="str">
            <v>소방재난본부</v>
          </cell>
          <cell r="E161" t="str">
            <v>소방재난본부</v>
          </cell>
          <cell r="F161" t="str">
            <v>119종합상황실</v>
          </cell>
          <cell r="G161" t="str">
            <v>안전행정위원회</v>
          </cell>
          <cell r="I161" t="str">
            <v>40106</v>
          </cell>
        </row>
        <row r="162">
          <cell r="A162" t="str">
            <v>인사담당관</v>
          </cell>
          <cell r="B162" t="str">
            <v>안전행정위원회</v>
          </cell>
          <cell r="C162" t="str">
            <v>소방재난본부</v>
          </cell>
          <cell r="E162" t="str">
            <v>소방재난본부</v>
          </cell>
          <cell r="F162" t="str">
            <v>인사담당관</v>
          </cell>
          <cell r="G162" t="str">
            <v>안전행정위원회</v>
          </cell>
          <cell r="I162" t="str">
            <v>40107</v>
          </cell>
        </row>
        <row r="163">
          <cell r="A163" t="str">
            <v>생활안전담당관</v>
          </cell>
          <cell r="B163" t="str">
            <v>안전행정위원회</v>
          </cell>
          <cell r="C163" t="str">
            <v>소방재난본부</v>
          </cell>
          <cell r="E163" t="str">
            <v>소방재난본부</v>
          </cell>
          <cell r="F163" t="str">
            <v>생활안전담당관</v>
          </cell>
          <cell r="G163" t="str">
            <v>안전행정위원회</v>
          </cell>
          <cell r="I163" t="str">
            <v>40108</v>
          </cell>
        </row>
        <row r="164">
          <cell r="A164" t="str">
            <v>회계장비담당관</v>
          </cell>
          <cell r="B164" t="str">
            <v>안전행정위원회</v>
          </cell>
          <cell r="C164" t="str">
            <v>소방재난본부</v>
          </cell>
          <cell r="E164" t="str">
            <v>소방재난본부</v>
          </cell>
          <cell r="F164" t="str">
            <v>회계장비담당관</v>
          </cell>
          <cell r="G164" t="str">
            <v>안전행정위원회</v>
          </cell>
          <cell r="I164" t="str">
            <v>40109</v>
          </cell>
        </row>
        <row r="165">
          <cell r="A165" t="str">
            <v>경기도119특수대응단</v>
          </cell>
          <cell r="B165" t="str">
            <v>안전행정위원회</v>
          </cell>
          <cell r="C165" t="str">
            <v>소방재난본부</v>
          </cell>
          <cell r="E165" t="str">
            <v>소방재난본부</v>
          </cell>
          <cell r="F165" t="str">
            <v>경기도119특수대응단</v>
          </cell>
          <cell r="G165" t="str">
            <v>안전행정위원회</v>
          </cell>
          <cell r="I165" t="str">
            <v>40110</v>
          </cell>
        </row>
        <row r="166">
          <cell r="A166" t="str">
            <v>경기도국민안전체험관</v>
          </cell>
          <cell r="B166" t="str">
            <v>안전행정위원회</v>
          </cell>
          <cell r="C166" t="str">
            <v>소방재난본부</v>
          </cell>
          <cell r="E166" t="str">
            <v>소방재난본부</v>
          </cell>
          <cell r="F166" t="str">
            <v>경기도국민안전체험관</v>
          </cell>
          <cell r="G166" t="str">
            <v>안전행정위원회</v>
          </cell>
          <cell r="I166" t="str">
            <v>40111</v>
          </cell>
        </row>
        <row r="167">
          <cell r="A167" t="str">
            <v>소방행정기획과</v>
          </cell>
          <cell r="B167" t="str">
            <v>안전행정위원회</v>
          </cell>
          <cell r="C167" t="str">
            <v>소방재난본부</v>
          </cell>
          <cell r="E167" t="str">
            <v>소방재난본부</v>
          </cell>
          <cell r="F167" t="str">
            <v>소방행정기획과</v>
          </cell>
          <cell r="G167" t="str">
            <v>안전행정위원회</v>
          </cell>
          <cell r="I167" t="str">
            <v>40201</v>
          </cell>
        </row>
        <row r="168">
          <cell r="A168" t="str">
            <v>예방과</v>
          </cell>
          <cell r="B168" t="str">
            <v>안전행정위원회</v>
          </cell>
          <cell r="C168" t="str">
            <v>소방재난본부</v>
          </cell>
          <cell r="E168" t="str">
            <v>소방재난본부</v>
          </cell>
          <cell r="F168" t="str">
            <v>예방과</v>
          </cell>
          <cell r="G168" t="str">
            <v>안전행정위원회</v>
          </cell>
          <cell r="I168" t="str">
            <v>40202</v>
          </cell>
        </row>
        <row r="169">
          <cell r="A169" t="str">
            <v>대응과</v>
          </cell>
          <cell r="B169" t="str">
            <v>안전행정위원회</v>
          </cell>
          <cell r="C169" t="str">
            <v>소방재난본부</v>
          </cell>
          <cell r="E169" t="str">
            <v>소방재난본부</v>
          </cell>
          <cell r="F169" t="str">
            <v>대응과</v>
          </cell>
          <cell r="G169" t="str">
            <v>안전행정위원회</v>
          </cell>
          <cell r="I169" t="str">
            <v>40203</v>
          </cell>
        </row>
        <row r="170">
          <cell r="A170" t="str">
            <v>북부119종합상황실</v>
          </cell>
          <cell r="B170" t="str">
            <v>안전행정위원회</v>
          </cell>
          <cell r="C170" t="str">
            <v>소방재난본부</v>
          </cell>
          <cell r="E170" t="str">
            <v>소방재난본부</v>
          </cell>
          <cell r="F170" t="str">
            <v>북부119종합상황실</v>
          </cell>
          <cell r="G170" t="str">
            <v>안전행정위원회</v>
          </cell>
          <cell r="I170" t="str">
            <v>40204</v>
          </cell>
        </row>
        <row r="171">
          <cell r="A171" t="str">
            <v>경기도북부119특수대응단</v>
          </cell>
          <cell r="B171" t="str">
            <v>안전행정위원회</v>
          </cell>
          <cell r="C171" t="str">
            <v>소방재난본부</v>
          </cell>
          <cell r="E171" t="str">
            <v>소방재난본부</v>
          </cell>
          <cell r="F171" t="str">
            <v>경기도북부119특수대응단</v>
          </cell>
          <cell r="G171" t="str">
            <v>안전행정위원회</v>
          </cell>
          <cell r="I171" t="str">
            <v>40205</v>
          </cell>
        </row>
        <row r="172">
          <cell r="A172" t="str">
            <v>교육지원과</v>
          </cell>
          <cell r="B172" t="str">
            <v>안전행정위원회</v>
          </cell>
          <cell r="C172" t="str">
            <v>소방재난본부</v>
          </cell>
          <cell r="E172" t="str">
            <v>소방재난본부</v>
          </cell>
          <cell r="F172" t="str">
            <v>교육지원과</v>
          </cell>
          <cell r="G172" t="str">
            <v>안전행정위원회</v>
          </cell>
          <cell r="I172" t="str">
            <v>40301</v>
          </cell>
        </row>
        <row r="173">
          <cell r="A173" t="str">
            <v>교육기획과</v>
          </cell>
          <cell r="B173" t="str">
            <v>안전행정위원회</v>
          </cell>
          <cell r="C173" t="str">
            <v>소방재난본부</v>
          </cell>
          <cell r="E173" t="str">
            <v>소방재난본부</v>
          </cell>
          <cell r="F173" t="str">
            <v>교육기획과</v>
          </cell>
          <cell r="G173" t="str">
            <v>안전행정위원회</v>
          </cell>
          <cell r="I173" t="str">
            <v>40302</v>
          </cell>
        </row>
        <row r="174">
          <cell r="A174" t="str">
            <v>교수운영과</v>
          </cell>
          <cell r="B174" t="str">
            <v>안전행정위원회</v>
          </cell>
          <cell r="C174" t="str">
            <v>소방재난본부</v>
          </cell>
          <cell r="E174" t="str">
            <v>소방재난본부</v>
          </cell>
          <cell r="F174" t="str">
            <v>교수운영과</v>
          </cell>
          <cell r="G174" t="str">
            <v>안전행정위원회</v>
          </cell>
          <cell r="I174" t="str">
            <v>40303</v>
          </cell>
        </row>
        <row r="175">
          <cell r="A175" t="str">
            <v>수원소방서</v>
          </cell>
          <cell r="B175" t="str">
            <v>안전행정위원회</v>
          </cell>
          <cell r="C175" t="str">
            <v>소방재난본부</v>
          </cell>
          <cell r="E175" t="str">
            <v>소방재난본부</v>
          </cell>
          <cell r="F175" t="str">
            <v>수원소방서</v>
          </cell>
          <cell r="G175" t="str">
            <v>안전행정위원회</v>
          </cell>
          <cell r="I175" t="str">
            <v>40401</v>
          </cell>
        </row>
        <row r="176">
          <cell r="A176" t="str">
            <v>수원남부소방서</v>
          </cell>
          <cell r="B176" t="str">
            <v>안전행정위원회</v>
          </cell>
          <cell r="C176" t="str">
            <v>소방재난본부</v>
          </cell>
          <cell r="E176" t="str">
            <v>소방재난본부</v>
          </cell>
          <cell r="F176" t="str">
            <v>수원남부소방서</v>
          </cell>
          <cell r="G176" t="str">
            <v>안전행정위원회</v>
          </cell>
          <cell r="I176" t="str">
            <v>40402</v>
          </cell>
        </row>
        <row r="177">
          <cell r="A177" t="str">
            <v>성남소방서</v>
          </cell>
          <cell r="B177" t="str">
            <v>안전행정위원회</v>
          </cell>
          <cell r="C177" t="str">
            <v>소방재난본부</v>
          </cell>
          <cell r="E177" t="str">
            <v>소방재난본부</v>
          </cell>
          <cell r="F177" t="str">
            <v>성남소방서</v>
          </cell>
          <cell r="G177" t="str">
            <v>안전행정위원회</v>
          </cell>
          <cell r="I177" t="str">
            <v>40403</v>
          </cell>
        </row>
        <row r="178">
          <cell r="A178" t="str">
            <v>분당소방서</v>
          </cell>
          <cell r="B178" t="str">
            <v>안전행정위원회</v>
          </cell>
          <cell r="C178" t="str">
            <v>소방재난본부</v>
          </cell>
          <cell r="E178" t="str">
            <v>소방재난본부</v>
          </cell>
          <cell r="F178" t="str">
            <v>분당소방서</v>
          </cell>
          <cell r="G178" t="str">
            <v>안전행정위원회</v>
          </cell>
          <cell r="I178" t="str">
            <v>40404</v>
          </cell>
        </row>
        <row r="179">
          <cell r="A179" t="str">
            <v>부천소방서</v>
          </cell>
          <cell r="B179" t="str">
            <v>안전행정위원회</v>
          </cell>
          <cell r="C179" t="str">
            <v>소방재난본부</v>
          </cell>
          <cell r="E179" t="str">
            <v>소방재난본부</v>
          </cell>
          <cell r="F179" t="str">
            <v>부천소방서</v>
          </cell>
          <cell r="G179" t="str">
            <v>안전행정위원회</v>
          </cell>
          <cell r="I179" t="str">
            <v>40405</v>
          </cell>
        </row>
        <row r="180">
          <cell r="A180" t="str">
            <v>안양소방서</v>
          </cell>
          <cell r="B180" t="str">
            <v>안전행정위원회</v>
          </cell>
          <cell r="C180" t="str">
            <v>소방재난본부</v>
          </cell>
          <cell r="E180" t="str">
            <v>소방재난본부</v>
          </cell>
          <cell r="F180" t="str">
            <v>안양소방서</v>
          </cell>
          <cell r="G180" t="str">
            <v>안전행정위원회</v>
          </cell>
          <cell r="I180" t="str">
            <v>40406</v>
          </cell>
        </row>
        <row r="181">
          <cell r="A181" t="str">
            <v>안산소방서</v>
          </cell>
          <cell r="B181" t="str">
            <v>안전행정위원회</v>
          </cell>
          <cell r="C181" t="str">
            <v>소방재난본부</v>
          </cell>
          <cell r="E181" t="str">
            <v>소방재난본부</v>
          </cell>
          <cell r="F181" t="str">
            <v>안산소방서</v>
          </cell>
          <cell r="G181" t="str">
            <v>안전행정위원회</v>
          </cell>
          <cell r="I181" t="str">
            <v>40407</v>
          </cell>
        </row>
        <row r="182">
          <cell r="A182" t="str">
            <v>용인소방서</v>
          </cell>
          <cell r="B182" t="str">
            <v>안전행정위원회</v>
          </cell>
          <cell r="C182" t="str">
            <v>소방재난본부</v>
          </cell>
          <cell r="E182" t="str">
            <v>소방재난본부</v>
          </cell>
          <cell r="F182" t="str">
            <v>용인소방서</v>
          </cell>
          <cell r="G182" t="str">
            <v>안전행정위원회</v>
          </cell>
          <cell r="I182" t="str">
            <v>40408</v>
          </cell>
        </row>
        <row r="183">
          <cell r="A183" t="str">
            <v>용인서부소방서</v>
          </cell>
          <cell r="B183" t="str">
            <v>안전행정위원회</v>
          </cell>
          <cell r="C183" t="str">
            <v>소방재난본부</v>
          </cell>
          <cell r="E183" t="str">
            <v>소방재난본부</v>
          </cell>
          <cell r="F183" t="str">
            <v>용인서부소방서</v>
          </cell>
          <cell r="G183" t="str">
            <v>안전행정위원회</v>
          </cell>
          <cell r="I183" t="str">
            <v>40409</v>
          </cell>
        </row>
        <row r="184">
          <cell r="A184" t="str">
            <v>평택소방서</v>
          </cell>
          <cell r="B184" t="str">
            <v>안전행정위원회</v>
          </cell>
          <cell r="C184" t="str">
            <v>소방재난본부</v>
          </cell>
          <cell r="E184" t="str">
            <v>소방재난본부</v>
          </cell>
          <cell r="F184" t="str">
            <v>평택소방서</v>
          </cell>
          <cell r="G184" t="str">
            <v>안전행정위원회</v>
          </cell>
          <cell r="I184" t="str">
            <v>40410</v>
          </cell>
        </row>
        <row r="185">
          <cell r="A185" t="str">
            <v>송탄소방서</v>
          </cell>
          <cell r="B185" t="str">
            <v>안전행정위원회</v>
          </cell>
          <cell r="C185" t="str">
            <v>소방재난본부</v>
          </cell>
          <cell r="E185" t="str">
            <v>소방재난본부</v>
          </cell>
          <cell r="F185" t="str">
            <v>송탄소방서</v>
          </cell>
          <cell r="G185" t="str">
            <v>안전행정위원회</v>
          </cell>
          <cell r="I185" t="str">
            <v>40411</v>
          </cell>
        </row>
        <row r="186">
          <cell r="A186" t="str">
            <v>광명소방서</v>
          </cell>
          <cell r="B186" t="str">
            <v>안전행정위원회</v>
          </cell>
          <cell r="C186" t="str">
            <v>소방재난본부</v>
          </cell>
          <cell r="E186" t="str">
            <v>소방재난본부</v>
          </cell>
          <cell r="F186" t="str">
            <v>광명소방서</v>
          </cell>
          <cell r="G186" t="str">
            <v>안전행정위원회</v>
          </cell>
          <cell r="I186" t="str">
            <v>40412</v>
          </cell>
        </row>
        <row r="187">
          <cell r="A187" t="str">
            <v>시흥소방서</v>
          </cell>
          <cell r="B187" t="str">
            <v>안전행정위원회</v>
          </cell>
          <cell r="C187" t="str">
            <v>소방재난본부</v>
          </cell>
          <cell r="E187" t="str">
            <v>소방재난본부</v>
          </cell>
          <cell r="F187" t="str">
            <v>시흥소방서</v>
          </cell>
          <cell r="G187" t="str">
            <v>안전행정위원회</v>
          </cell>
          <cell r="I187" t="str">
            <v>40413</v>
          </cell>
        </row>
        <row r="188">
          <cell r="A188" t="str">
            <v>군포소방서</v>
          </cell>
          <cell r="B188" t="str">
            <v>안전행정위원회</v>
          </cell>
          <cell r="C188" t="str">
            <v>소방재난본부</v>
          </cell>
          <cell r="E188" t="str">
            <v>소방재난본부</v>
          </cell>
          <cell r="F188" t="str">
            <v>군포소방서</v>
          </cell>
          <cell r="G188" t="str">
            <v>안전행정위원회</v>
          </cell>
          <cell r="I188" t="str">
            <v>40414</v>
          </cell>
        </row>
        <row r="189">
          <cell r="A189" t="str">
            <v>화성소방서</v>
          </cell>
          <cell r="B189" t="str">
            <v>안전행정위원회</v>
          </cell>
          <cell r="C189" t="str">
            <v>소방재난본부</v>
          </cell>
          <cell r="E189" t="str">
            <v>소방재난본부</v>
          </cell>
          <cell r="F189" t="str">
            <v>화성소방서</v>
          </cell>
          <cell r="G189" t="str">
            <v>안전행정위원회</v>
          </cell>
          <cell r="I189" t="str">
            <v>40415</v>
          </cell>
        </row>
        <row r="190">
          <cell r="A190" t="str">
            <v>이천소방서</v>
          </cell>
          <cell r="B190" t="str">
            <v>안전행정위원회</v>
          </cell>
          <cell r="C190" t="str">
            <v>소방재난본부</v>
          </cell>
          <cell r="E190" t="str">
            <v>소방재난본부</v>
          </cell>
          <cell r="F190" t="str">
            <v>이천소방서</v>
          </cell>
          <cell r="G190" t="str">
            <v>안전행정위원회</v>
          </cell>
          <cell r="I190" t="str">
            <v>40416</v>
          </cell>
        </row>
        <row r="191">
          <cell r="A191" t="str">
            <v>김포소방서</v>
          </cell>
          <cell r="B191" t="str">
            <v>안전행정위원회</v>
          </cell>
          <cell r="C191" t="str">
            <v>소방재난본부</v>
          </cell>
          <cell r="E191" t="str">
            <v>소방재난본부</v>
          </cell>
          <cell r="F191" t="str">
            <v>김포소방서</v>
          </cell>
          <cell r="G191" t="str">
            <v>안전행정위원회</v>
          </cell>
          <cell r="I191" t="str">
            <v>40417</v>
          </cell>
        </row>
        <row r="192">
          <cell r="A192" t="str">
            <v>광주소방서</v>
          </cell>
          <cell r="B192" t="str">
            <v>안전행정위원회</v>
          </cell>
          <cell r="C192" t="str">
            <v>소방재난본부</v>
          </cell>
          <cell r="E192" t="str">
            <v>소방재난본부</v>
          </cell>
          <cell r="F192" t="str">
            <v>광주소방서</v>
          </cell>
          <cell r="G192" t="str">
            <v>안전행정위원회</v>
          </cell>
          <cell r="I192" t="str">
            <v>40418</v>
          </cell>
        </row>
        <row r="193">
          <cell r="A193" t="str">
            <v>안성소방서</v>
          </cell>
          <cell r="B193" t="str">
            <v>안전행정위원회</v>
          </cell>
          <cell r="C193" t="str">
            <v>소방재난본부</v>
          </cell>
          <cell r="E193" t="str">
            <v>소방재난본부</v>
          </cell>
          <cell r="F193" t="str">
            <v>안성소방서</v>
          </cell>
          <cell r="G193" t="str">
            <v>안전행정위원회</v>
          </cell>
          <cell r="I193" t="str">
            <v>40419</v>
          </cell>
        </row>
        <row r="194">
          <cell r="A194" t="str">
            <v>하남소방서</v>
          </cell>
          <cell r="B194" t="str">
            <v>안전행정위원회</v>
          </cell>
          <cell r="C194" t="str">
            <v>소방재난본부</v>
          </cell>
          <cell r="E194" t="str">
            <v>소방재난본부</v>
          </cell>
          <cell r="F194" t="str">
            <v>하남소방서</v>
          </cell>
          <cell r="G194" t="str">
            <v>안전행정위원회</v>
          </cell>
          <cell r="I194" t="str">
            <v>40420</v>
          </cell>
        </row>
        <row r="195">
          <cell r="A195" t="str">
            <v>의왕소방서</v>
          </cell>
          <cell r="B195" t="str">
            <v>안전행정위원회</v>
          </cell>
          <cell r="C195" t="str">
            <v>소방재난본부</v>
          </cell>
          <cell r="E195" t="str">
            <v>소방재난본부</v>
          </cell>
          <cell r="F195" t="str">
            <v>의왕소방서</v>
          </cell>
          <cell r="G195" t="str">
            <v>안전행정위원회</v>
          </cell>
          <cell r="I195" t="str">
            <v>40421</v>
          </cell>
        </row>
        <row r="196">
          <cell r="A196" t="str">
            <v>오산소방서</v>
          </cell>
          <cell r="B196" t="str">
            <v>안전행정위원회</v>
          </cell>
          <cell r="C196" t="str">
            <v>소방재난본부</v>
          </cell>
          <cell r="E196" t="str">
            <v>소방재난본부</v>
          </cell>
          <cell r="F196" t="str">
            <v>오산소방서</v>
          </cell>
          <cell r="G196" t="str">
            <v>안전행정위원회</v>
          </cell>
          <cell r="I196" t="str">
            <v>40422</v>
          </cell>
        </row>
        <row r="197">
          <cell r="A197" t="str">
            <v>여주소방서</v>
          </cell>
          <cell r="B197" t="str">
            <v>안전행정위원회</v>
          </cell>
          <cell r="C197" t="str">
            <v>소방재난본부</v>
          </cell>
          <cell r="E197" t="str">
            <v>소방재난본부</v>
          </cell>
          <cell r="F197" t="str">
            <v>여주소방서</v>
          </cell>
          <cell r="G197" t="str">
            <v>안전행정위원회</v>
          </cell>
          <cell r="I197" t="str">
            <v>40423</v>
          </cell>
        </row>
        <row r="198">
          <cell r="A198" t="str">
            <v>양평소방서</v>
          </cell>
          <cell r="B198" t="str">
            <v>안전행정위원회</v>
          </cell>
          <cell r="C198" t="str">
            <v>소방재난본부</v>
          </cell>
          <cell r="E198" t="str">
            <v>소방재난본부</v>
          </cell>
          <cell r="F198" t="str">
            <v>양평소방서</v>
          </cell>
          <cell r="G198" t="str">
            <v>안전행정위원회</v>
          </cell>
          <cell r="I198" t="str">
            <v>40424</v>
          </cell>
        </row>
        <row r="199">
          <cell r="A199" t="str">
            <v>과천소방서</v>
          </cell>
          <cell r="B199" t="str">
            <v>안전행정위원회</v>
          </cell>
          <cell r="C199" t="str">
            <v>소방재난본부</v>
          </cell>
          <cell r="E199" t="str">
            <v>소방재난본부</v>
          </cell>
          <cell r="F199" t="str">
            <v>과천소방서</v>
          </cell>
          <cell r="G199" t="str">
            <v>안전행정위원회</v>
          </cell>
          <cell r="I199" t="str">
            <v>40425</v>
          </cell>
        </row>
        <row r="200">
          <cell r="A200" t="str">
            <v>고양소방서</v>
          </cell>
          <cell r="B200" t="str">
            <v>안전행정위원회</v>
          </cell>
          <cell r="C200" t="str">
            <v>소방재난본부</v>
          </cell>
          <cell r="E200" t="str">
            <v>소방재난본부</v>
          </cell>
          <cell r="F200" t="str">
            <v>고양소방서</v>
          </cell>
          <cell r="G200" t="str">
            <v>안전행정위원회</v>
          </cell>
          <cell r="I200" t="str">
            <v>40426</v>
          </cell>
        </row>
        <row r="201">
          <cell r="A201" t="str">
            <v>일산소방서</v>
          </cell>
          <cell r="B201" t="str">
            <v>안전행정위원회</v>
          </cell>
          <cell r="C201" t="str">
            <v>소방재난본부</v>
          </cell>
          <cell r="E201" t="str">
            <v>소방재난본부</v>
          </cell>
          <cell r="F201" t="str">
            <v>일산소방서</v>
          </cell>
          <cell r="G201" t="str">
            <v>안전행정위원회</v>
          </cell>
          <cell r="I201" t="str">
            <v>40427</v>
          </cell>
        </row>
        <row r="202">
          <cell r="A202" t="str">
            <v>의정부소방서</v>
          </cell>
          <cell r="B202" t="str">
            <v>안전행정위원회</v>
          </cell>
          <cell r="C202" t="str">
            <v>소방재난본부</v>
          </cell>
          <cell r="E202" t="str">
            <v>소방재난본부</v>
          </cell>
          <cell r="F202" t="str">
            <v>의정부소방서</v>
          </cell>
          <cell r="G202" t="str">
            <v>안전행정위원회</v>
          </cell>
          <cell r="I202" t="str">
            <v>40428</v>
          </cell>
        </row>
        <row r="203">
          <cell r="A203" t="str">
            <v>남양주소방서</v>
          </cell>
          <cell r="B203" t="str">
            <v>안전행정위원회</v>
          </cell>
          <cell r="C203" t="str">
            <v>소방재난본부</v>
          </cell>
          <cell r="E203" t="str">
            <v>소방재난본부</v>
          </cell>
          <cell r="F203" t="str">
            <v>남양주소방서</v>
          </cell>
          <cell r="G203" t="str">
            <v>안전행정위원회</v>
          </cell>
          <cell r="I203" t="str">
            <v>40429</v>
          </cell>
        </row>
        <row r="204">
          <cell r="A204" t="str">
            <v>파주소방서</v>
          </cell>
          <cell r="B204" t="str">
            <v>안전행정위원회</v>
          </cell>
          <cell r="C204" t="str">
            <v>소방재난본부</v>
          </cell>
          <cell r="E204" t="str">
            <v>소방재난본부</v>
          </cell>
          <cell r="F204" t="str">
            <v>파주소방서</v>
          </cell>
          <cell r="G204" t="str">
            <v>안전행정위원회</v>
          </cell>
          <cell r="I204" t="str">
            <v>40430</v>
          </cell>
        </row>
        <row r="205">
          <cell r="A205" t="str">
            <v>구리소방서</v>
          </cell>
          <cell r="B205" t="str">
            <v>안전행정위원회</v>
          </cell>
          <cell r="C205" t="str">
            <v>소방재난본부</v>
          </cell>
          <cell r="E205" t="str">
            <v>소방재난본부</v>
          </cell>
          <cell r="F205" t="str">
            <v>구리소방서</v>
          </cell>
          <cell r="G205" t="str">
            <v>안전행정위원회</v>
          </cell>
          <cell r="I205" t="str">
            <v>40431</v>
          </cell>
        </row>
        <row r="206">
          <cell r="A206" t="str">
            <v>포천소방서</v>
          </cell>
          <cell r="B206" t="str">
            <v>안전행정위원회</v>
          </cell>
          <cell r="C206" t="str">
            <v>소방재난본부</v>
          </cell>
          <cell r="E206" t="str">
            <v>소방재난본부</v>
          </cell>
          <cell r="F206" t="str">
            <v>포천소방서</v>
          </cell>
          <cell r="G206" t="str">
            <v>안전행정위원회</v>
          </cell>
          <cell r="I206" t="str">
            <v>40432</v>
          </cell>
        </row>
        <row r="207">
          <cell r="A207" t="str">
            <v>양주소방서</v>
          </cell>
          <cell r="B207" t="str">
            <v>안전행정위원회</v>
          </cell>
          <cell r="C207" t="str">
            <v>소방재난본부</v>
          </cell>
          <cell r="E207" t="str">
            <v>소방재난본부</v>
          </cell>
          <cell r="F207" t="str">
            <v>양주소방서</v>
          </cell>
          <cell r="G207" t="str">
            <v>안전행정위원회</v>
          </cell>
          <cell r="I207" t="str">
            <v>40433</v>
          </cell>
        </row>
        <row r="208">
          <cell r="A208" t="str">
            <v>동두천소방서</v>
          </cell>
          <cell r="B208" t="str">
            <v>안전행정위원회</v>
          </cell>
          <cell r="C208" t="str">
            <v>소방재난본부</v>
          </cell>
          <cell r="E208" t="str">
            <v>소방재난본부</v>
          </cell>
          <cell r="F208" t="str">
            <v>동두천소방서</v>
          </cell>
          <cell r="G208" t="str">
            <v>안전행정위원회</v>
          </cell>
          <cell r="I208" t="str">
            <v>40434</v>
          </cell>
        </row>
        <row r="209">
          <cell r="A209" t="str">
            <v>가평소방서</v>
          </cell>
          <cell r="B209" t="str">
            <v>안전행정위원회</v>
          </cell>
          <cell r="C209" t="str">
            <v>소방재난본부</v>
          </cell>
          <cell r="E209" t="str">
            <v>소방재난본부</v>
          </cell>
          <cell r="F209" t="str">
            <v>가평소방서</v>
          </cell>
          <cell r="G209" t="str">
            <v>안전행정위원회</v>
          </cell>
          <cell r="I209" t="str">
            <v>40435</v>
          </cell>
        </row>
        <row r="210">
          <cell r="A210" t="str">
            <v>연천소방서</v>
          </cell>
          <cell r="B210" t="str">
            <v>안전행정위원회</v>
          </cell>
          <cell r="C210" t="str">
            <v>소방재난본부</v>
          </cell>
          <cell r="E210" t="str">
            <v>소방재난본부</v>
          </cell>
          <cell r="F210" t="str">
            <v>연천소방서</v>
          </cell>
          <cell r="G210" t="str">
            <v>안전행정위원회</v>
          </cell>
          <cell r="I210" t="str">
            <v>40436</v>
          </cell>
        </row>
        <row r="211">
          <cell r="A211" t="str">
            <v>총무과</v>
          </cell>
          <cell r="B211" t="str">
            <v>의회운영위원회</v>
          </cell>
          <cell r="C211" t="str">
            <v>의회사무처</v>
          </cell>
          <cell r="E211" t="str">
            <v>의회사무처</v>
          </cell>
          <cell r="F211" t="str">
            <v>총무과</v>
          </cell>
          <cell r="G211" t="str">
            <v>의회운영위원회</v>
          </cell>
          <cell r="I211" t="str">
            <v>50101</v>
          </cell>
        </row>
        <row r="212">
          <cell r="A212" t="str">
            <v>인사과</v>
          </cell>
          <cell r="B212" t="str">
            <v>의회운영위원회</v>
          </cell>
          <cell r="C212" t="str">
            <v>의회사무처</v>
          </cell>
          <cell r="E212" t="str">
            <v>의회사무처</v>
          </cell>
          <cell r="F212" t="str">
            <v>인사과</v>
          </cell>
          <cell r="G212" t="str">
            <v>의회운영위원회</v>
          </cell>
          <cell r="I212" t="str">
            <v>50107</v>
          </cell>
        </row>
        <row r="213">
          <cell r="A213" t="str">
            <v>언론홍보과</v>
          </cell>
          <cell r="B213" t="str">
            <v>의회운영위원회</v>
          </cell>
          <cell r="C213" t="str">
            <v>의회사무처</v>
          </cell>
          <cell r="E213" t="str">
            <v>의회사무처</v>
          </cell>
          <cell r="F213" t="str">
            <v>언론홍보과</v>
          </cell>
          <cell r="G213" t="str">
            <v>의회운영위원회</v>
          </cell>
          <cell r="I213" t="str">
            <v>50102</v>
          </cell>
        </row>
        <row r="214">
          <cell r="A214" t="str">
            <v>디지털의사과</v>
          </cell>
          <cell r="B214" t="str">
            <v>의회운영위원회</v>
          </cell>
          <cell r="C214" t="str">
            <v>의회사무처</v>
          </cell>
          <cell r="E214" t="str">
            <v>의회사무처</v>
          </cell>
          <cell r="F214" t="str">
            <v>디지털의사과</v>
          </cell>
          <cell r="G214" t="str">
            <v>의회운영위원회</v>
          </cell>
          <cell r="I214" t="str">
            <v>50103</v>
          </cell>
        </row>
        <row r="215">
          <cell r="A215" t="str">
            <v>공간정보화과</v>
          </cell>
          <cell r="B215" t="str">
            <v>의회운영위원회</v>
          </cell>
          <cell r="C215" t="str">
            <v>의회사무처</v>
          </cell>
          <cell r="E215" t="str">
            <v>의회사무처</v>
          </cell>
          <cell r="F215" t="str">
            <v>공간정보화과</v>
          </cell>
          <cell r="G215" t="str">
            <v>의회운영위원회</v>
          </cell>
          <cell r="I215" t="str">
            <v>50104</v>
          </cell>
        </row>
        <row r="216">
          <cell r="A216" t="str">
            <v>법제과</v>
          </cell>
          <cell r="B216" t="str">
            <v>의회운영위원회</v>
          </cell>
          <cell r="C216" t="str">
            <v>의회사무처</v>
          </cell>
          <cell r="E216" t="str">
            <v>의회사무처</v>
          </cell>
          <cell r="F216" t="str">
            <v>법제과</v>
          </cell>
          <cell r="G216" t="str">
            <v>의회운영위원회</v>
          </cell>
          <cell r="I216" t="str">
            <v>50105</v>
          </cell>
        </row>
        <row r="217">
          <cell r="A217" t="str">
            <v>예산분석과</v>
          </cell>
          <cell r="B217" t="str">
            <v>의회운영위원회</v>
          </cell>
          <cell r="C217" t="str">
            <v>의회사무처</v>
          </cell>
          <cell r="E217" t="str">
            <v>의회사무처</v>
          </cell>
          <cell r="F217" t="str">
            <v>예산분석과</v>
          </cell>
          <cell r="G217" t="str">
            <v>의회운영위원회</v>
          </cell>
          <cell r="I217" t="str">
            <v>50106</v>
          </cell>
        </row>
        <row r="218">
          <cell r="A218" t="str">
            <v>의정지원과</v>
          </cell>
          <cell r="B218" t="str">
            <v>의회운영위원회</v>
          </cell>
          <cell r="C218" t="str">
            <v>의회사무처</v>
          </cell>
          <cell r="E218" t="str">
            <v>의회사무처</v>
          </cell>
          <cell r="F218" t="str">
            <v>의정지원과</v>
          </cell>
          <cell r="G218" t="str">
            <v>의회운영위원회</v>
          </cell>
          <cell r="I218" t="str">
            <v>50109</v>
          </cell>
        </row>
        <row r="219">
          <cell r="A219" t="str">
            <v>전문위원실</v>
          </cell>
          <cell r="B219" t="str">
            <v>의회운영위원회</v>
          </cell>
          <cell r="C219" t="str">
            <v>의회사무처</v>
          </cell>
          <cell r="E219" t="str">
            <v>의회사무처</v>
          </cell>
          <cell r="F219" t="str">
            <v>전문위원실</v>
          </cell>
          <cell r="G219" t="str">
            <v>의회운영위원회</v>
          </cell>
          <cell r="I219" t="str">
            <v>50108</v>
          </cell>
        </row>
        <row r="220">
          <cell r="A220" t="str">
            <v>행정지원과</v>
          </cell>
          <cell r="B220" t="str">
            <v>농정해양위원회</v>
          </cell>
          <cell r="C220" t="str">
            <v>농업기술원</v>
          </cell>
          <cell r="E220" t="str">
            <v>농업기술원</v>
          </cell>
          <cell r="F220" t="str">
            <v>행정지원과</v>
          </cell>
          <cell r="G220" t="str">
            <v>농정해양위원회</v>
          </cell>
          <cell r="I220" t="str">
            <v>50201</v>
          </cell>
        </row>
        <row r="221">
          <cell r="A221" t="str">
            <v>작물연구과</v>
          </cell>
          <cell r="B221" t="str">
            <v>농정해양위원회</v>
          </cell>
          <cell r="C221" t="str">
            <v>농업기술원</v>
          </cell>
          <cell r="E221" t="str">
            <v>농업기술원</v>
          </cell>
          <cell r="F221" t="str">
            <v>작물연구과</v>
          </cell>
          <cell r="G221" t="str">
            <v>농정해양위원회</v>
          </cell>
          <cell r="I221" t="str">
            <v>50202</v>
          </cell>
        </row>
        <row r="222">
          <cell r="A222" t="str">
            <v>원예연구과</v>
          </cell>
          <cell r="B222" t="str">
            <v>농정해양위원회</v>
          </cell>
          <cell r="C222" t="str">
            <v>농업기술원</v>
          </cell>
          <cell r="E222" t="str">
            <v>농업기술원</v>
          </cell>
          <cell r="F222" t="str">
            <v>원예연구과</v>
          </cell>
          <cell r="G222" t="str">
            <v>농정해양위원회</v>
          </cell>
          <cell r="I222" t="str">
            <v>50203</v>
          </cell>
        </row>
        <row r="223">
          <cell r="A223" t="str">
            <v>환경농업연구과</v>
          </cell>
          <cell r="B223" t="str">
            <v>농정해양위원회</v>
          </cell>
          <cell r="C223" t="str">
            <v>농업기술원</v>
          </cell>
          <cell r="E223" t="str">
            <v>농업기술원</v>
          </cell>
          <cell r="F223" t="str">
            <v>환경농업연구과</v>
          </cell>
          <cell r="G223" t="str">
            <v>농정해양위원회</v>
          </cell>
          <cell r="I223" t="str">
            <v>50204</v>
          </cell>
        </row>
        <row r="224">
          <cell r="A224" t="str">
            <v>친환경미생물연구소</v>
          </cell>
          <cell r="B224" t="str">
            <v>농정해양위원회</v>
          </cell>
          <cell r="C224" t="str">
            <v>농업기술원</v>
          </cell>
          <cell r="E224" t="str">
            <v>농업기술원</v>
          </cell>
          <cell r="F224" t="str">
            <v>친환경미생물연구소</v>
          </cell>
          <cell r="G224" t="str">
            <v>농정해양위원회</v>
          </cell>
          <cell r="I224" t="str">
            <v>50205</v>
          </cell>
        </row>
        <row r="225">
          <cell r="A225" t="str">
            <v>소득자원연구소</v>
          </cell>
          <cell r="B225" t="str">
            <v>농정해양위원회</v>
          </cell>
          <cell r="C225" t="str">
            <v>농업기술원</v>
          </cell>
          <cell r="E225" t="str">
            <v>농업기술원</v>
          </cell>
          <cell r="F225" t="str">
            <v>소득자원연구소</v>
          </cell>
          <cell r="G225" t="str">
            <v>농정해양위원회</v>
          </cell>
          <cell r="I225" t="str">
            <v>50206</v>
          </cell>
        </row>
        <row r="226">
          <cell r="A226" t="str">
            <v>선인장다육식물연구소</v>
          </cell>
          <cell r="B226" t="str">
            <v>농정해양위원회</v>
          </cell>
          <cell r="C226" t="str">
            <v>농업기술원</v>
          </cell>
          <cell r="E226" t="str">
            <v>농업기술원</v>
          </cell>
          <cell r="F226" t="str">
            <v>선인장다육식물연구소</v>
          </cell>
          <cell r="G226" t="str">
            <v>농정해양위원회</v>
          </cell>
          <cell r="I226" t="str">
            <v>50207</v>
          </cell>
        </row>
        <row r="227">
          <cell r="A227" t="str">
            <v>지도정책과</v>
          </cell>
          <cell r="B227" t="str">
            <v>농정해양위원회</v>
          </cell>
          <cell r="C227" t="str">
            <v>농업기술원</v>
          </cell>
          <cell r="E227" t="str">
            <v>농업기술원</v>
          </cell>
          <cell r="F227" t="str">
            <v>지도정책과</v>
          </cell>
          <cell r="G227" t="str">
            <v>농정해양위원회</v>
          </cell>
          <cell r="I227" t="str">
            <v>50208</v>
          </cell>
        </row>
        <row r="228">
          <cell r="A228" t="str">
            <v>기술보급과</v>
          </cell>
          <cell r="B228" t="str">
            <v>농정해양위원회</v>
          </cell>
          <cell r="C228" t="str">
            <v>농업기술원</v>
          </cell>
          <cell r="E228" t="str">
            <v>농업기술원</v>
          </cell>
          <cell r="F228" t="str">
            <v>기술보급과</v>
          </cell>
          <cell r="G228" t="str">
            <v>농정해양위원회</v>
          </cell>
          <cell r="I228" t="str">
            <v>50209</v>
          </cell>
        </row>
        <row r="229">
          <cell r="A229" t="str">
            <v>농촌자원과</v>
          </cell>
          <cell r="B229" t="str">
            <v>농정해양위원회</v>
          </cell>
          <cell r="C229" t="str">
            <v>농업기술원</v>
          </cell>
          <cell r="E229" t="str">
            <v>농업기술원</v>
          </cell>
          <cell r="F229" t="str">
            <v>농촌자원과</v>
          </cell>
          <cell r="G229" t="str">
            <v>농정해양위원회</v>
          </cell>
          <cell r="I229" t="str">
            <v>50210</v>
          </cell>
        </row>
        <row r="230">
          <cell r="A230" t="str">
            <v>교육지원과</v>
          </cell>
          <cell r="B230" t="str">
            <v>안전행정위원회</v>
          </cell>
          <cell r="C230" t="str">
            <v>인재개발원</v>
          </cell>
          <cell r="E230" t="str">
            <v>인재개발원</v>
          </cell>
          <cell r="F230" t="str">
            <v>교육지원과</v>
          </cell>
          <cell r="G230" t="str">
            <v>안전행정위원회</v>
          </cell>
          <cell r="I230" t="str">
            <v>50301</v>
          </cell>
        </row>
        <row r="231">
          <cell r="A231" t="str">
            <v>역량개발지원과</v>
          </cell>
          <cell r="B231" t="str">
            <v>안전행정위원회</v>
          </cell>
          <cell r="C231" t="str">
            <v>인재개발원</v>
          </cell>
          <cell r="E231" t="str">
            <v>인재개발원</v>
          </cell>
          <cell r="F231" t="str">
            <v>역량개발지원과</v>
          </cell>
          <cell r="G231" t="str">
            <v>안전행정위원회</v>
          </cell>
          <cell r="I231" t="str">
            <v>50302</v>
          </cell>
        </row>
        <row r="232">
          <cell r="A232" t="str">
            <v>운영기획부</v>
          </cell>
          <cell r="B232" t="str">
            <v>보건복지위원회</v>
          </cell>
          <cell r="C232" t="str">
            <v>보건환경연구원</v>
          </cell>
          <cell r="E232" t="str">
            <v>보건환경연구원</v>
          </cell>
          <cell r="F232" t="str">
            <v>운영기획부</v>
          </cell>
          <cell r="G232" t="str">
            <v>보건복지위원회</v>
          </cell>
          <cell r="I232" t="str">
            <v>50401</v>
          </cell>
        </row>
        <row r="233">
          <cell r="A233" t="str">
            <v>식품의약품연구부</v>
          </cell>
          <cell r="B233" t="str">
            <v>보건복지위원회</v>
          </cell>
          <cell r="C233" t="str">
            <v>보건환경연구원</v>
          </cell>
          <cell r="E233" t="str">
            <v>보건환경연구원</v>
          </cell>
          <cell r="F233" t="str">
            <v>식품의약품연구부</v>
          </cell>
          <cell r="G233" t="str">
            <v>보건복지위원회</v>
          </cell>
          <cell r="I233" t="str">
            <v>50402</v>
          </cell>
        </row>
        <row r="234">
          <cell r="A234" t="str">
            <v>감염병연구부</v>
          </cell>
          <cell r="B234" t="str">
            <v>보건복지위원회</v>
          </cell>
          <cell r="C234" t="str">
            <v>보건환경연구원</v>
          </cell>
          <cell r="E234" t="str">
            <v>보건환경연구원</v>
          </cell>
          <cell r="F234" t="str">
            <v>감염병연구부</v>
          </cell>
          <cell r="G234" t="str">
            <v>보건복지위원회</v>
          </cell>
          <cell r="I234" t="str">
            <v>50403</v>
          </cell>
        </row>
        <row r="235">
          <cell r="A235" t="str">
            <v>농수산물검사부</v>
          </cell>
          <cell r="B235" t="str">
            <v>보건복지위원회</v>
          </cell>
          <cell r="C235" t="str">
            <v>보건환경연구원</v>
          </cell>
          <cell r="E235" t="str">
            <v>보건환경연구원</v>
          </cell>
          <cell r="F235" t="str">
            <v>농수산물검사부</v>
          </cell>
          <cell r="G235" t="str">
            <v>보건복지위원회</v>
          </cell>
          <cell r="I235" t="str">
            <v>50404</v>
          </cell>
        </row>
        <row r="236">
          <cell r="A236" t="str">
            <v>기후대기연구부</v>
          </cell>
          <cell r="B236" t="str">
            <v>도시환경위원회</v>
          </cell>
          <cell r="C236" t="str">
            <v>보건환경연구원</v>
          </cell>
          <cell r="E236" t="str">
            <v>보건환경연구원</v>
          </cell>
          <cell r="F236" t="str">
            <v>기후대기연구부</v>
          </cell>
          <cell r="G236" t="str">
            <v>도시환경위원회</v>
          </cell>
          <cell r="I236" t="str">
            <v>50406</v>
          </cell>
        </row>
        <row r="237">
          <cell r="A237" t="str">
            <v>물환경연구부</v>
          </cell>
          <cell r="B237" t="str">
            <v>도시환경위원회</v>
          </cell>
          <cell r="C237" t="str">
            <v>보건환경연구원</v>
          </cell>
          <cell r="E237" t="str">
            <v>보건환경연구원</v>
          </cell>
          <cell r="F237" t="str">
            <v>물환경연구부</v>
          </cell>
          <cell r="G237" t="str">
            <v>도시환경위원회</v>
          </cell>
          <cell r="I237" t="str">
            <v>50407</v>
          </cell>
        </row>
        <row r="238">
          <cell r="A238" t="str">
            <v>생활환경연구부</v>
          </cell>
          <cell r="B238" t="str">
            <v>도시환경위원회</v>
          </cell>
          <cell r="C238" t="str">
            <v>보건환경연구원</v>
          </cell>
          <cell r="E238" t="str">
            <v>보건환경연구원</v>
          </cell>
          <cell r="F238" t="str">
            <v>생활환경연구부</v>
          </cell>
          <cell r="G238" t="str">
            <v>도시환경위원회</v>
          </cell>
          <cell r="I238" t="str">
            <v>50405</v>
          </cell>
        </row>
        <row r="239">
          <cell r="A239" t="str">
            <v>북부지원</v>
          </cell>
          <cell r="B239" t="str">
            <v>보건복지위원회</v>
          </cell>
          <cell r="C239" t="str">
            <v>보건환경연구원</v>
          </cell>
          <cell r="E239" t="str">
            <v>보건환경연구원</v>
          </cell>
          <cell r="F239" t="str">
            <v>북부지원</v>
          </cell>
          <cell r="G239" t="str">
            <v>보건복지위원회</v>
          </cell>
          <cell r="I239" t="str">
            <v>50408</v>
          </cell>
        </row>
        <row r="240">
          <cell r="A240" t="str">
            <v>기획행정과</v>
          </cell>
          <cell r="B240" t="str">
            <v>경제노동위원회</v>
          </cell>
          <cell r="C240" t="str">
            <v>경기경제자유구역청</v>
          </cell>
          <cell r="E240" t="str">
            <v>경기경제자유구역청</v>
          </cell>
          <cell r="F240" t="str">
            <v>기획행정과</v>
          </cell>
          <cell r="G240" t="str">
            <v>경제노동위원회</v>
          </cell>
          <cell r="I240" t="str">
            <v>50501</v>
          </cell>
        </row>
        <row r="241">
          <cell r="A241" t="str">
            <v>개발과</v>
          </cell>
          <cell r="B241" t="str">
            <v>경제노동위원회</v>
          </cell>
          <cell r="C241" t="str">
            <v>경기경제자유구역청</v>
          </cell>
          <cell r="E241" t="str">
            <v>경기경제자유구역청</v>
          </cell>
          <cell r="F241" t="str">
            <v>개발과</v>
          </cell>
          <cell r="G241" t="str">
            <v>경제노동위원회</v>
          </cell>
          <cell r="I241" t="str">
            <v>50502</v>
          </cell>
        </row>
        <row r="242">
          <cell r="A242" t="str">
            <v>투자유치과</v>
          </cell>
          <cell r="B242" t="str">
            <v>경제노동위원회</v>
          </cell>
          <cell r="C242" t="str">
            <v>경기경제자유구역청</v>
          </cell>
          <cell r="E242" t="str">
            <v>경기경제자유구역청</v>
          </cell>
          <cell r="F242" t="str">
            <v>투자유치과</v>
          </cell>
          <cell r="G242" t="str">
            <v>경제노동위원회</v>
          </cell>
          <cell r="I242" t="str">
            <v>50503</v>
          </cell>
        </row>
        <row r="243">
          <cell r="A243" t="str">
            <v>수질정책과</v>
          </cell>
          <cell r="B243" t="str">
            <v>도시환경위원회</v>
          </cell>
          <cell r="C243" t="str">
            <v>수자원본부</v>
          </cell>
          <cell r="E243" t="str">
            <v>수자원본부</v>
          </cell>
          <cell r="F243" t="str">
            <v>수질정책과</v>
          </cell>
          <cell r="G243" t="str">
            <v>도시환경위원회</v>
          </cell>
          <cell r="I243" t="str">
            <v>50601</v>
          </cell>
        </row>
        <row r="244">
          <cell r="A244" t="str">
            <v>수질관리과</v>
          </cell>
          <cell r="B244" t="str">
            <v>도시환경위원회</v>
          </cell>
          <cell r="C244" t="str">
            <v>수자원본부</v>
          </cell>
          <cell r="E244" t="str">
            <v>수자원본부</v>
          </cell>
          <cell r="F244" t="str">
            <v>수질관리과</v>
          </cell>
          <cell r="G244" t="str">
            <v>도시환경위원회</v>
          </cell>
          <cell r="I244" t="str">
            <v>50602</v>
          </cell>
        </row>
        <row r="245">
          <cell r="A245" t="str">
            <v>상하수과</v>
          </cell>
          <cell r="B245" t="str">
            <v>도시환경위원회</v>
          </cell>
          <cell r="C245" t="str">
            <v>수자원본부</v>
          </cell>
          <cell r="E245" t="str">
            <v>수자원본부</v>
          </cell>
          <cell r="F245" t="str">
            <v>상하수과</v>
          </cell>
          <cell r="G245" t="str">
            <v>도시환경위원회</v>
          </cell>
          <cell r="I245" t="str">
            <v>50603</v>
          </cell>
        </row>
        <row r="246">
          <cell r="A246" t="str">
            <v>수질총량과</v>
          </cell>
          <cell r="B246" t="str">
            <v>도시환경위원회</v>
          </cell>
          <cell r="C246" t="str">
            <v>수자원본부</v>
          </cell>
          <cell r="E246" t="str">
            <v>수자원본부</v>
          </cell>
          <cell r="F246" t="str">
            <v>수질총량과</v>
          </cell>
          <cell r="G246" t="str">
            <v>도시환경위원회</v>
          </cell>
          <cell r="I246" t="str">
            <v>50604</v>
          </cell>
        </row>
        <row r="247">
          <cell r="A247" t="str">
            <v>관리과</v>
          </cell>
          <cell r="B247" t="str">
            <v>건설교통위원회</v>
          </cell>
          <cell r="C247" t="str">
            <v>건설본부</v>
          </cell>
          <cell r="E247" t="str">
            <v>건설본부</v>
          </cell>
          <cell r="F247" t="str">
            <v>관리과</v>
          </cell>
          <cell r="G247" t="str">
            <v>건설교통위원회</v>
          </cell>
          <cell r="I247" t="str">
            <v>50701</v>
          </cell>
        </row>
        <row r="248">
          <cell r="A248" t="str">
            <v>도로건설과</v>
          </cell>
          <cell r="B248" t="str">
            <v>건설교통위원회</v>
          </cell>
          <cell r="C248" t="str">
            <v>건설본부</v>
          </cell>
          <cell r="E248" t="str">
            <v>건설본부</v>
          </cell>
          <cell r="F248" t="str">
            <v>도로건설과</v>
          </cell>
          <cell r="G248" t="str">
            <v>건설교통위원회</v>
          </cell>
          <cell r="I248" t="str">
            <v>50702</v>
          </cell>
        </row>
        <row r="249">
          <cell r="A249" t="str">
            <v>북부도로과</v>
          </cell>
          <cell r="B249" t="str">
            <v>건설교통위원회</v>
          </cell>
          <cell r="C249" t="str">
            <v>건설본부</v>
          </cell>
          <cell r="E249" t="str">
            <v>건설본부</v>
          </cell>
          <cell r="F249" t="str">
            <v>북부도로과</v>
          </cell>
          <cell r="G249" t="str">
            <v>건설교통위원회</v>
          </cell>
          <cell r="I249" t="str">
            <v>50703</v>
          </cell>
        </row>
        <row r="250">
          <cell r="A250" t="str">
            <v>건축시설과</v>
          </cell>
          <cell r="B250" t="str">
            <v>건설교통위원회</v>
          </cell>
          <cell r="C250" t="str">
            <v>건설본부</v>
          </cell>
          <cell r="E250" t="str">
            <v>건설본부</v>
          </cell>
          <cell r="F250" t="str">
            <v>건축시설과</v>
          </cell>
          <cell r="G250" t="str">
            <v>건설교통위원회</v>
          </cell>
          <cell r="I250" t="str">
            <v>50704</v>
          </cell>
        </row>
        <row r="251">
          <cell r="A251" t="str">
            <v>남부기획조정과</v>
          </cell>
          <cell r="B251" t="str">
            <v>안전행정위원회</v>
          </cell>
          <cell r="C251" t="str">
            <v>경기도남부자치경찰위원회</v>
          </cell>
          <cell r="E251" t="str">
            <v>경기도남부자치경찰위원회</v>
          </cell>
          <cell r="F251" t="str">
            <v>남부기획조정과</v>
          </cell>
          <cell r="G251" t="str">
            <v>안전행정위원회</v>
          </cell>
          <cell r="I251">
            <v>50801</v>
          </cell>
        </row>
        <row r="252">
          <cell r="A252" t="str">
            <v>남부자치경찰협력과</v>
          </cell>
          <cell r="B252" t="str">
            <v>안전행정위원회</v>
          </cell>
          <cell r="C252" t="str">
            <v>경기도남부자치경찰위원회</v>
          </cell>
          <cell r="E252" t="str">
            <v>경기도남부자치경찰위원회</v>
          </cell>
          <cell r="F252" t="str">
            <v>남부자치경찰협력과</v>
          </cell>
          <cell r="G252" t="str">
            <v>안전행정위원회</v>
          </cell>
          <cell r="I252">
            <v>50802</v>
          </cell>
        </row>
        <row r="253">
          <cell r="A253" t="str">
            <v>북부기획조정과</v>
          </cell>
          <cell r="B253" t="str">
            <v>안전행정위원회</v>
          </cell>
          <cell r="C253" t="str">
            <v>경기도북부자치경찰위원회</v>
          </cell>
          <cell r="E253" t="str">
            <v>경기도북부자치경찰위원회</v>
          </cell>
          <cell r="F253" t="str">
            <v>북부기획조정과</v>
          </cell>
          <cell r="G253" t="str">
            <v>안전행정위원회</v>
          </cell>
          <cell r="I253">
            <v>50803</v>
          </cell>
        </row>
        <row r="254">
          <cell r="A254" t="str">
            <v>북부자치경찰협력과</v>
          </cell>
          <cell r="B254" t="str">
            <v>안전행정위원회</v>
          </cell>
          <cell r="C254" t="str">
            <v>경기도북부자치경찰위원회</v>
          </cell>
          <cell r="E254" t="str">
            <v>경기도북부자치경찰위원회</v>
          </cell>
          <cell r="F254" t="str">
            <v>북부자치경찰협력과</v>
          </cell>
          <cell r="G254" t="str">
            <v>안전행정위원회</v>
          </cell>
          <cell r="I254">
            <v>50804</v>
          </cell>
        </row>
        <row r="255">
          <cell r="A255" t="str">
            <v>경기도도민권익위원회</v>
          </cell>
          <cell r="B255" t="str">
            <v>기획재정위원회</v>
          </cell>
          <cell r="C255" t="str">
            <v>경기도도민권익위원회</v>
          </cell>
          <cell r="E255" t="str">
            <v>경기도도민권익위원회</v>
          </cell>
          <cell r="F255" t="str">
            <v>경기도도민권익위원회</v>
          </cell>
          <cell r="G255" t="str">
            <v>기획재정위원회</v>
          </cell>
          <cell r="I255">
            <v>50805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tabSelected="1" view="pageBreakPreview" zoomScale="115" zoomScaleNormal="100" zoomScaleSheetLayoutView="115" workbookViewId="0">
      <selection activeCell="D12" sqref="D12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43"/>
      <c r="U2" t="s">
        <v>114</v>
      </c>
      <c r="Z2" s="155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43"/>
    </row>
    <row r="4" spans="1:26" ht="46.5" customHeight="1">
      <c r="A4" s="844" t="s">
        <v>1691</v>
      </c>
      <c r="B4" s="844"/>
      <c r="C4" s="844"/>
      <c r="D4" s="844"/>
      <c r="E4" s="844"/>
      <c r="F4" s="844"/>
      <c r="G4" s="844"/>
      <c r="H4" s="844"/>
      <c r="I4" s="844"/>
      <c r="J4" s="844"/>
      <c r="K4" s="844"/>
      <c r="L4" s="844"/>
      <c r="M4" s="844"/>
    </row>
    <row r="5" spans="1:26" s="3" customFormat="1" ht="60" customHeight="1">
      <c r="A5" s="845" t="s">
        <v>300</v>
      </c>
      <c r="B5" s="846"/>
      <c r="C5" s="846"/>
      <c r="D5" s="846"/>
      <c r="E5" s="846"/>
      <c r="F5" s="846"/>
      <c r="G5" s="846"/>
      <c r="H5" s="846"/>
      <c r="I5" s="846"/>
      <c r="J5" s="846"/>
      <c r="K5" s="846"/>
      <c r="L5" s="846"/>
      <c r="M5" s="846"/>
    </row>
    <row r="6" spans="1:26" ht="39.950000000000003" customHeight="1">
      <c r="A6" s="847"/>
      <c r="B6" s="847"/>
      <c r="C6" s="847"/>
      <c r="D6" s="847"/>
      <c r="E6" s="847"/>
      <c r="F6" s="847"/>
      <c r="G6" s="847"/>
      <c r="H6" s="847"/>
      <c r="I6" s="847"/>
      <c r="J6" s="847"/>
      <c r="K6" s="847"/>
      <c r="L6" s="847"/>
      <c r="M6" s="847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191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191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48" t="s">
        <v>246</v>
      </c>
      <c r="B15" s="848"/>
      <c r="C15" s="848"/>
      <c r="D15" s="848"/>
      <c r="E15" s="848"/>
      <c r="F15" s="848"/>
      <c r="G15" s="848"/>
      <c r="H15" s="848"/>
      <c r="I15" s="848"/>
      <c r="J15" s="848"/>
      <c r="K15" s="848"/>
      <c r="L15" s="848"/>
      <c r="M15" s="848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topLeftCell="A4" zoomScale="85" zoomScaleNormal="100" zoomScaleSheetLayoutView="85" workbookViewId="0">
      <selection activeCell="F10" sqref="F10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852" t="s">
        <v>245</v>
      </c>
      <c r="B2" s="853"/>
      <c r="C2" s="853"/>
      <c r="D2" s="853"/>
      <c r="E2" s="853"/>
      <c r="F2" s="853"/>
      <c r="G2" s="853"/>
      <c r="H2" s="853"/>
      <c r="I2" s="854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4" t="s">
        <v>248</v>
      </c>
    </row>
    <row r="5" spans="1:20" ht="15" customHeight="1">
      <c r="C5" s="7"/>
      <c r="D5" s="7"/>
      <c r="E5" s="7"/>
      <c r="F5" s="9"/>
      <c r="G5" s="11"/>
      <c r="H5" s="7"/>
      <c r="I5" s="4" t="s">
        <v>131</v>
      </c>
      <c r="J5" s="15"/>
      <c r="T5" s="843"/>
    </row>
    <row r="6" spans="1:20" ht="24.95" customHeight="1" thickBot="1">
      <c r="A6" s="849" t="s">
        <v>132</v>
      </c>
      <c r="B6" s="849" t="s">
        <v>133</v>
      </c>
      <c r="C6" s="849" t="s">
        <v>134</v>
      </c>
      <c r="D6" s="849"/>
      <c r="E6" s="851"/>
      <c r="F6" s="849" t="s">
        <v>135</v>
      </c>
      <c r="G6" s="849"/>
      <c r="H6" s="851"/>
      <c r="I6" s="849" t="s">
        <v>136</v>
      </c>
      <c r="J6" s="10"/>
      <c r="K6" s="6" t="s">
        <v>295</v>
      </c>
      <c r="L6" s="17"/>
      <c r="M6" s="17"/>
      <c r="N6" s="17"/>
      <c r="O6" s="17"/>
      <c r="T6" s="843"/>
    </row>
    <row r="7" spans="1:20" ht="24.95" customHeight="1">
      <c r="A7" s="849"/>
      <c r="B7" s="849"/>
      <c r="C7" s="494" t="s">
        <v>141</v>
      </c>
      <c r="D7" s="93" t="s">
        <v>294</v>
      </c>
      <c r="E7" s="94" t="s">
        <v>183</v>
      </c>
      <c r="F7" s="495" t="s">
        <v>141</v>
      </c>
      <c r="G7" s="93" t="s">
        <v>142</v>
      </c>
      <c r="H7" s="94" t="s">
        <v>293</v>
      </c>
      <c r="I7" s="850"/>
      <c r="J7" s="10"/>
      <c r="K7" s="122" t="s">
        <v>292</v>
      </c>
      <c r="L7" s="122" t="s">
        <v>146</v>
      </c>
      <c r="M7" s="122" t="s">
        <v>147</v>
      </c>
      <c r="N7" s="122" t="s">
        <v>145</v>
      </c>
      <c r="O7" s="122" t="s">
        <v>924</v>
      </c>
    </row>
    <row r="8" spans="1:20" ht="30" customHeight="1">
      <c r="A8" s="95" t="s">
        <v>247</v>
      </c>
      <c r="B8" s="96">
        <f t="shared" ref="B8:I8" si="0">SUM(B9:B19)</f>
        <v>42242001864</v>
      </c>
      <c r="C8" s="96">
        <f t="shared" si="0"/>
        <v>-224869</v>
      </c>
      <c r="D8" s="97">
        <f t="shared" si="0"/>
        <v>2577539</v>
      </c>
      <c r="E8" s="98">
        <f t="shared" si="0"/>
        <v>2352670</v>
      </c>
      <c r="F8" s="99">
        <f t="shared" si="0"/>
        <v>-507629</v>
      </c>
      <c r="G8" s="97">
        <f t="shared" si="0"/>
        <v>12974853</v>
      </c>
      <c r="H8" s="98">
        <f t="shared" si="0"/>
        <v>12467224</v>
      </c>
      <c r="I8" s="99">
        <f t="shared" si="0"/>
        <v>42254469088</v>
      </c>
      <c r="J8" s="16"/>
      <c r="K8" s="121" t="s">
        <v>247</v>
      </c>
      <c r="L8" s="120">
        <f>SUM(L9:L10)</f>
        <v>2352670</v>
      </c>
      <c r="M8" s="120">
        <f>SUM(M9:M10)</f>
        <v>12467224</v>
      </c>
      <c r="N8" s="125">
        <f>L8-M8</f>
        <v>-10114554</v>
      </c>
      <c r="O8" s="124"/>
    </row>
    <row r="9" spans="1:20" ht="33" customHeight="1">
      <c r="A9" s="111" t="s">
        <v>137</v>
      </c>
      <c r="B9" s="112">
        <f t="shared" ref="B9:B17" si="1">B33</f>
        <v>129702008</v>
      </c>
      <c r="C9" s="112">
        <f>SUMIFS('3. 일입'!$N$7:$N$1820,'3. 일입'!$B$7:$B$1820, $A9, '3. 일입'!$N$7:$N$1820,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498">
        <f>SUMIFS('3. 일입'!$N$7:$N$1820,'3. 일입'!$B$7:$B$1820, $A9, '3. 일입'!$N$7:$N$1820,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23">
        <f>C9+D9</f>
        <v>0</v>
      </c>
      <c r="F9" s="499">
        <f>SUMIFS('3. 일출(자체)'!$P$6:$P$1834,'3. 일출(자체)'!$B$6:$B$1834, $A9, '3. 일출(자체)'!$P$6:$P$1834, "&lt;"&amp;0)+SUMIFS('3. 일출(의존)'!$P$6:P$1826,'3. 일출(의존)'!$B$6:$B$1826, $A9, '3. 일출(의존)'!$P$6:$P$1826,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498">
        <f>SUMIFS('3. 일출(자체)'!$P$6:$P$1834,'3. 일출(자체)'!$B$6:$B$1834, $A9, '3. 일출(자체)'!$P$6:$P$1834, "&gt;"&amp;0)+SUMIFS('3. 일출(의존)'!$P$6:$P$1826,'3. 일출(의존)'!$B$6:$B$1826, $A9, '3. 일출(의존)'!$P$6:$P$1826,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1">
        <f t="shared" ref="H9:H19" si="2">G9+F9</f>
        <v>0</v>
      </c>
      <c r="I9" s="102">
        <f t="shared" ref="I9:I19" si="3">B9+F9+G9</f>
        <v>129702008</v>
      </c>
      <c r="J9" s="16"/>
      <c r="K9" s="123" t="s">
        <v>279</v>
      </c>
      <c r="L9" s="117">
        <f>SUM(C26:D26)</f>
        <v>2352670</v>
      </c>
      <c r="M9" s="117">
        <f>SUM(F26:G26)</f>
        <v>12467224</v>
      </c>
      <c r="N9" s="117">
        <f>L9-M9</f>
        <v>-10114554</v>
      </c>
      <c r="O9" s="855" t="s">
        <v>261</v>
      </c>
    </row>
    <row r="10" spans="1:20" ht="33" customHeight="1">
      <c r="A10" s="103" t="s">
        <v>238</v>
      </c>
      <c r="B10" s="104">
        <f t="shared" si="1"/>
        <v>5932148107</v>
      </c>
      <c r="C10" s="104">
        <f>SUMIFS('3. 일입'!$N$7:$N$1820,'3. 일입'!$B$7:$B$1820, $A10, '3. 일입'!$N$7:$N$1820,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5">
        <f>SUMIFS('3. 일입'!$N$7:$N$1820,'3. 일입'!$B$7:$B$1820, $A10, '3. 일입'!$N$7:$N$1820,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6">
        <f>C10+D10</f>
        <v>0</v>
      </c>
      <c r="F10" s="500">
        <f>SUMIFS('3. 일출(자체)'!$P$6:$P$1834,'3. 일출(자체)'!$B$6:$B$1834, $A10, '3. 일출(자체)'!$P$6:$P$1834, "&lt;"&amp;0)+SUMIFS('3. 일출(의존)'!$P$6:P$1826,'3. 일출(의존)'!$B$6:$B$1826, $A10, '3. 일출(의존)'!$P$6:$P$1826,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5">
        <f>SUMIFS('3. 일출(자체)'!$P$6:$P$1834,'3. 일출(자체)'!$B$6:$B$1834, $A10, '3. 일출(자체)'!$P$6:$P$1834, "&gt;"&amp;0)+SUMIFS('3. 일출(의존)'!$P$6:$P$1826,'3. 일출(의존)'!$B$6:$B$1826, $A10, '3. 일출(의존)'!$P$6:$P$1826,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6">
        <f t="shared" si="2"/>
        <v>0</v>
      </c>
      <c r="I10" s="107">
        <f t="shared" si="3"/>
        <v>5932148107</v>
      </c>
      <c r="J10" s="16"/>
      <c r="K10" s="123" t="s">
        <v>291</v>
      </c>
      <c r="L10" s="117">
        <f>SUM(C27:D27)</f>
        <v>0</v>
      </c>
      <c r="M10" s="117">
        <f>SUM(F27:G27)</f>
        <v>0</v>
      </c>
      <c r="N10" s="117">
        <f>L10-M10</f>
        <v>0</v>
      </c>
      <c r="O10" s="856"/>
    </row>
    <row r="11" spans="1:20" ht="33" customHeight="1">
      <c r="A11" s="103" t="s">
        <v>239</v>
      </c>
      <c r="B11" s="104">
        <f t="shared" si="1"/>
        <v>474872242</v>
      </c>
      <c r="C11" s="104">
        <f>SUMIFS('3. 일입'!$N$7:$N$1820,'3. 일입'!$B$7:$B$1820, $A11, '3. 일입'!$N$7:$N$1820,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5">
        <f>SUMIFS('3. 일입'!$N$7:$N$1820,'3. 일입'!$B$7:$B$1820, $A11, '3. 일입'!$N$7:$N$1820,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6">
        <f>C11+D11</f>
        <v>0</v>
      </c>
      <c r="F11" s="500">
        <f>SUMIFS('3. 일출(자체)'!$P$6:$P$1834,'3. 일출(자체)'!$B$6:$B$1834, $A11, '3. 일출(자체)'!$P$6:$P$1834, "&lt;"&amp;0)+SUMIFS('3. 일출(의존)'!$P$6:P$1826,'3. 일출(의존)'!$B$6:$B$1826, $A11, '3. 일출(의존)'!$P$6:$P$1826,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5">
        <f>SUMIFS('3. 일출(자체)'!$P$6:$P$1834,'3. 일출(자체)'!$B$6:$B$1834, $A11, '3. 일출(자체)'!$P$6:$P$1834, "&gt;"&amp;0)+SUMIFS('3. 일출(의존)'!$P$6:$P$1826,'3. 일출(의존)'!$B$6:$B$1826, $A11, '3. 일출(의존)'!$P$6:$P$1826,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6">
        <f t="shared" si="2"/>
        <v>0</v>
      </c>
      <c r="I11" s="107">
        <f t="shared" si="3"/>
        <v>474872242</v>
      </c>
      <c r="J11" s="16"/>
      <c r="N11" s="25"/>
      <c r="O11" t="s">
        <v>923</v>
      </c>
    </row>
    <row r="12" spans="1:20" ht="33" customHeight="1">
      <c r="A12" s="103" t="s">
        <v>276</v>
      </c>
      <c r="B12" s="104">
        <f t="shared" si="1"/>
        <v>4269846310</v>
      </c>
      <c r="C12" s="104">
        <f>SUMIFS('3. 일입'!$N$7:$N$1820,'3. 일입'!$B$7:$B$1820, $A12, '3. 일입'!$N$7:$N$1820,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5">
        <f>SUMIFS('3. 일입'!$N$7:$N$1820,'3. 일입'!$B$7:$B$1820, $A12, '3. 일입'!$N$7:$N$1820,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6">
        <f>C12+D12</f>
        <v>0</v>
      </c>
      <c r="F12" s="500">
        <f>SUMIFS('3. 일출(자체)'!$P$6:$P$1834,'3. 일출(자체)'!$B$6:$B$1834, $A12, '3. 일출(자체)'!$P$6:$P$1834, "&lt;"&amp;0)+SUMIFS('3. 일출(의존)'!$P$6:P$1826,'3. 일출(의존)'!$B$6:$B$1826, $A12, '3. 일출(의존)'!$P$6:$P$1826,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5">
        <f>SUMIFS('3. 일출(자체)'!$P$6:$P$1834,'3. 일출(자체)'!$B$6:$B$1834, $A12, '3. 일출(자체)'!$P$6:$P$1834, "&gt;"&amp;0)+SUMIFS('3. 일출(의존)'!$P$6:$P$1826,'3. 일출(의존)'!$B$6:$B$1826, $A12, '3. 일출(의존)'!$P$6:$P$1826,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6">
        <f t="shared" si="2"/>
        <v>0</v>
      </c>
      <c r="I12" s="107">
        <f t="shared" si="3"/>
        <v>4269846310</v>
      </c>
      <c r="J12" s="16"/>
      <c r="N12" s="25"/>
    </row>
    <row r="13" spans="1:20" ht="33" customHeight="1">
      <c r="A13" s="103" t="s">
        <v>290</v>
      </c>
      <c r="B13" s="104">
        <f t="shared" si="1"/>
        <v>554871567</v>
      </c>
      <c r="C13" s="104">
        <f>SUMIFS('3. 일입'!$N$7:$N$1820,'3. 일입'!$B$7:$B$1820, $A13, '3. 일입'!$N$7:$N$1820,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5">
        <f>SUMIFS('3. 일입'!$N$7:$N$1820,'3. 일입'!$B$7:$B$1820, $A13, '3. 일입'!$N$7:$N$1820,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6">
        <f t="shared" ref="E13:E19" si="4">C13+D13</f>
        <v>0</v>
      </c>
      <c r="F13" s="500">
        <f>SUMIFS('3. 일출(자체)'!$P$6:$P$1834,'3. 일출(자체)'!$B$6:$B$1834, $A13, '3. 일출(자체)'!$P$6:$P$1834, "&lt;"&amp;0)+SUMIFS('3. 일출(의존)'!$P$6:P$1826,'3. 일출(의존)'!$B$6:$B$1826, $A13, '3. 일출(의존)'!$P$6:$P$1826,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5">
        <f>SUMIFS('3. 일출(자체)'!$P$6:$P$1834,'3. 일출(자체)'!$B$6:$B$1834, $A13, '3. 일출(자체)'!$P$6:$P$1834, "&gt;"&amp;0)+SUMIFS('3. 일출(의존)'!$P$6:$P$1826,'3. 일출(의존)'!$B$6:$B$1826, $A13, '3. 일출(의존)'!$P$6:$P$1826,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6">
        <f t="shared" si="2"/>
        <v>0</v>
      </c>
      <c r="I13" s="107">
        <f t="shared" si="3"/>
        <v>554871567</v>
      </c>
      <c r="J13" s="16"/>
    </row>
    <row r="14" spans="1:20" ht="33" customHeight="1">
      <c r="A14" s="103" t="s">
        <v>139</v>
      </c>
      <c r="B14" s="104">
        <f t="shared" si="1"/>
        <v>1195877261</v>
      </c>
      <c r="C14" s="104">
        <f>SUMIFS('3. 일입'!$N$7:$N$1820,'3. 일입'!$B$7:$B$1820, $A14, '3. 일입'!$N$7:$N$1820, "&lt;"&amp;0)+SUMIFS('4. 특입'!$N$6:$N$1994,'4. 특입'!$B$6:$B$1994,$A14, '4. 특입'!$N$6:$N$1994,  "&lt;"&amp;0)+SUMIFS('4-1. 공특입'!$O$6:$O$1992,'4-1. 공특입'!$B$6:$B$1992,$A14, '4-1. 공특입'!$O$6:$O$1992,  "&lt;"&amp;0)</f>
        <v>-224869</v>
      </c>
      <c r="D14" s="105">
        <f>SUMIFS('3. 일입'!$N$7:$N$1820,'3. 일입'!$B$7:$B$1820, $A14, '3. 일입'!$N$7:$N$1820, "&gt;"&amp;0)+SUMIFS('4. 특입'!$N$6:$N$1994,'4. 특입'!$B$6:$B$1994,$A14, '4. 특입'!$N$6:$N$1994,  "&gt;"&amp;0)+SUMIFS('4-1. 공특입'!$O$6:$O$1992,'4-1. 공특입'!$B$6:$B$1992,$A14, '4-1. 공특입'!$O$6:$O$1992,  "&gt;"&amp;0)</f>
        <v>2577539</v>
      </c>
      <c r="E14" s="106">
        <f t="shared" si="4"/>
        <v>2352670</v>
      </c>
      <c r="F14" s="500">
        <f>SUMIFS('3. 일출(자체)'!$P$6:$P$1834,'3. 일출(자체)'!$B$6:$B$1834, $A14, '3. 일출(자체)'!$P$6:$P$1834, "&lt;"&amp;0)+SUMIFS('3. 일출(의존)'!$P$6:P$1826,'3. 일출(의존)'!$B$6:$B$1826, $A14, '3. 일출(의존)'!$P$6:$P$1826, "&lt;"&amp;0)+SUMIFS('4. 특출'!$P$5:$P$1991,'4. 특출'!$B$5:$B$1991, $A14, '4. 특출'!$P$5:$P$1991, "&lt;"&amp;0)+SUMIFS('4-1. 공특출'!$P$5:$P$1992,'4-1. 공특출'!$B$5:$B$1992, $A14, '4-1. 공특출'!$P$5:$P$1992, "&lt;"&amp;0)</f>
        <v>-507629</v>
      </c>
      <c r="G14" s="105">
        <f>SUMIFS('3. 일출(자체)'!$P$6:$P$1834,'3. 일출(자체)'!$B$6:$B$1834, $A14, '3. 일출(자체)'!$P$6:$P$1834, "&gt;"&amp;0)+SUMIFS('3. 일출(의존)'!$P$6:$P$1826,'3. 일출(의존)'!$B$6:$B$1826, $A14, '3. 일출(의존)'!$P$6:$P$1826, "&gt;"&amp;0)+SUMIFS('4. 특출'!$P$5:$P$1991,'4. 특출'!$B$5:$B$1991, $A14, '4. 특출'!$P$5:$P$1991, "&gt;"&amp;0)+SUMIFS('4-1. 공특출'!$P$5:$P$1992,'4-1. 공특출'!$B$5:$B$1992, $A14, '4-1. 공특출'!$P$5:$P$1992, "&gt;"&amp;0)</f>
        <v>12974853</v>
      </c>
      <c r="H14" s="106">
        <f t="shared" si="2"/>
        <v>12467224</v>
      </c>
      <c r="I14" s="107">
        <f t="shared" si="3"/>
        <v>1208344485</v>
      </c>
      <c r="J14" s="16"/>
    </row>
    <row r="15" spans="1:20" ht="33" customHeight="1">
      <c r="A15" s="103" t="s">
        <v>140</v>
      </c>
      <c r="B15" s="104">
        <f t="shared" si="1"/>
        <v>14042559485</v>
      </c>
      <c r="C15" s="104">
        <f>SUMIFS('3. 일입'!$N$7:$N$1820,'3. 일입'!$B$7:$B$1820, $A15, '3. 일입'!$N$7:$N$1820,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5">
        <f>SUMIFS('3. 일입'!$N$7:$N$1820,'3. 일입'!$B$7:$B$1820, $A15, '3. 일입'!$N$7:$N$1820,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6">
        <f t="shared" si="4"/>
        <v>0</v>
      </c>
      <c r="F15" s="500">
        <f>SUMIFS('3. 일출(자체)'!$P$6:$P$1834,'3. 일출(자체)'!$B$6:$B$1834, $A15, '3. 일출(자체)'!$P$6:$P$1834, "&lt;"&amp;0)+SUMIFS('3. 일출(의존)'!$P$6:P$1826,'3. 일출(의존)'!$B$6:$B$1826, $A15, '3. 일출(의존)'!$P$6:$P$1826,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5">
        <f>SUMIFS('3. 일출(자체)'!$P$6:$P$1834,'3. 일출(자체)'!$B$6:$B$1834, $A15, '3. 일출(자체)'!$P$6:$P$1834, "&gt;"&amp;0)+SUMIFS('3. 일출(의존)'!$P$6:$P$1826,'3. 일출(의존)'!$B$6:$B$1826, $A15, '3. 일출(의존)'!$P$6:$P$1826,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6">
        <f t="shared" si="2"/>
        <v>0</v>
      </c>
      <c r="I15" s="107">
        <f t="shared" si="3"/>
        <v>14042559485</v>
      </c>
      <c r="J15" s="16"/>
    </row>
    <row r="16" spans="1:20" ht="33" customHeight="1">
      <c r="A16" s="103" t="s">
        <v>241</v>
      </c>
      <c r="B16" s="104">
        <f t="shared" si="1"/>
        <v>3029412433</v>
      </c>
      <c r="C16" s="104">
        <f>SUMIFS('3. 일입'!$N$7:$N$1820,'3. 일입'!$B$7:$B$1820, $A16, '3. 일입'!$N$7:$N$1820,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5">
        <f>SUMIFS('3. 일입'!$N$7:$N$1820,'3. 일입'!$B$7:$B$1820, $A16, '3. 일입'!$N$7:$N$1820,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6">
        <f t="shared" si="4"/>
        <v>0</v>
      </c>
      <c r="F16" s="500">
        <f>SUMIFS('3. 일출(자체)'!$P$6:$P$1834,'3. 일출(자체)'!$B$6:$B$1834, $A16, '3. 일출(자체)'!$P$6:$P$1834, "&lt;"&amp;0)+SUMIFS('3. 일출(의존)'!$P$6:P$1826,'3. 일출(의존)'!$B$6:$B$1826, $A16, '3. 일출(의존)'!$P$6:$P$1826,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5">
        <f>SUMIFS('3. 일출(자체)'!$P$6:$P$1834,'3. 일출(자체)'!$B$6:$B$1834, $A16, '3. 일출(자체)'!$P$6:$P$1834, "&gt;"&amp;0)+SUMIFS('3. 일출(의존)'!$P$6:$P$1826,'3. 일출(의존)'!$B$6:$B$1826, $A16, '3. 일출(의존)'!$P$6:$P$1826,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106">
        <f t="shared" si="2"/>
        <v>0</v>
      </c>
      <c r="I16" s="107">
        <f t="shared" si="3"/>
        <v>3029412433</v>
      </c>
      <c r="J16" s="16"/>
    </row>
    <row r="17" spans="1:14" ht="33" customHeight="1">
      <c r="A17" s="103" t="s">
        <v>166</v>
      </c>
      <c r="B17" s="104">
        <f t="shared" si="1"/>
        <v>2367511141</v>
      </c>
      <c r="C17" s="104">
        <f>SUMIFS('3. 일입'!$N$7:$N$1820,'3. 일입'!$B$7:$B$1820, $A17, '3. 일입'!$N$7:$N$1820,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5">
        <f>SUMIFS('3. 일입'!$N$7:$N$1820,'3. 일입'!$B$7:$B$1820, $A17, '3. 일입'!$N$7:$N$1820,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6">
        <f t="shared" si="4"/>
        <v>0</v>
      </c>
      <c r="F17" s="500">
        <f>SUMIFS('3. 일출(자체)'!$P$6:$P$1834,'3. 일출(자체)'!$B$6:$B$1834, $A17, '3. 일출(자체)'!$P$6:$P$1834, "&lt;"&amp;0)+SUMIFS('3. 일출(의존)'!$P$6:P$1826,'3. 일출(의존)'!$B$6:$B$1826, $A17, '3. 일출(의존)'!$P$6:$P$1826,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5">
        <f>SUMIFS('3. 일출(자체)'!$P$6:$P$1834,'3. 일출(자체)'!$B$6:$B$1834, $A17, '3. 일출(자체)'!$P$6:$P$1834, "&gt;"&amp;0)+SUMIFS('3. 일출(의존)'!$P$6:$P$1826,'3. 일출(의존)'!$B$6:$B$1826, $A17, '3. 일출(의존)'!$P$6:$P$1826,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6">
        <f t="shared" si="2"/>
        <v>0</v>
      </c>
      <c r="I17" s="107">
        <f t="shared" si="3"/>
        <v>2367511141</v>
      </c>
      <c r="J17" s="16"/>
    </row>
    <row r="18" spans="1:14" ht="33" customHeight="1">
      <c r="A18" s="103" t="s">
        <v>1040</v>
      </c>
      <c r="B18" s="104">
        <f>B42</f>
        <v>890727734</v>
      </c>
      <c r="C18" s="104">
        <f>SUMIFS('3. 일입'!$N$7:$N$1820,'3. 일입'!$B$7:$B$1820, $A18, '3. 일입'!$N$7:$N$1820,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5">
        <f>SUMIFS('3. 일입'!$N$7:$N$1820,'3. 일입'!$B$7:$B$1820, $A18, '3. 일입'!$N$7:$N$1820,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6">
        <f t="shared" si="4"/>
        <v>0</v>
      </c>
      <c r="F18" s="500">
        <f>SUMIFS('3. 일출(자체)'!$P$6:$P$1834,'3. 일출(자체)'!$B$6:$B$1834, $A18, '3. 일출(자체)'!$P$6:$P$1834, "&lt;"&amp;0)+SUMIFS('3. 일출(의존)'!$P$6:P$1826,'3. 일출(의존)'!$B$6:$B$1826, $A18, '3. 일출(의존)'!$P$6:$P$1826,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5">
        <f>SUMIFS('3. 일출(자체)'!$P$6:$P$1834,'3. 일출(자체)'!$B$6:$B$1834, $A18, '3. 일출(자체)'!$P$6:$P$1834, "&gt;"&amp;0)+SUMIFS('3. 일출(의존)'!$P$6:$P$1826,'3. 일출(의존)'!$B$6:$B$1826, $A18, '3. 일출(의존)'!$P$6:$P$1826,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6">
        <f t="shared" ref="H18" si="5">G18+F18</f>
        <v>0</v>
      </c>
      <c r="I18" s="107">
        <f t="shared" ref="I18" si="6">B18+F18+G18</f>
        <v>890727734</v>
      </c>
      <c r="J18" s="16"/>
    </row>
    <row r="19" spans="1:14" ht="33" customHeight="1" thickBot="1">
      <c r="A19" s="108" t="s">
        <v>242</v>
      </c>
      <c r="B19" s="109">
        <f t="shared" ref="B19" si="7">B43</f>
        <v>9354473576</v>
      </c>
      <c r="C19" s="109">
        <f>SUMIFS('3. 일입'!$N$7:$N$1820,'3. 일입'!$B$7:$B$1820, $A19, '3. 일입'!$N$7:$N$1820,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01">
        <f>SUMIFS('3. 일입'!$N$7:$N$1820,'3. 일입'!$B$7:$B$1820, $A19, '3. 일입'!$N$7:$N$1820,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24">
        <f t="shared" si="4"/>
        <v>0</v>
      </c>
      <c r="F19" s="502">
        <f>SUMIFS('3. 일출(자체)'!$P$6:$P$1834,'3. 일출(자체)'!$B$6:$B$1834, $A19, '3. 일출(자체)'!$P$6:$P$1834, "&lt;"&amp;0)+SUMIFS('3. 일출(의존)'!$P$6:P$1826,'3. 일출(의존)'!$B$6:$B$1826, $A19, '3. 일출(의존)'!$P$6:$P$1826,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01">
        <f>SUMIFS('3. 일출(자체)'!$P$6:$P$1834,'3. 일출(자체)'!$B$6:$B$1834, $A19, '3. 일출(자체)'!$P$6:$P$1834, "&gt;"&amp;0)+SUMIFS('3. 일출(의존)'!$P$6:$P$1826,'3. 일출(의존)'!$B$6:$B$1826, $A19, '3. 일출(의존)'!$P$6:$P$1826,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25">
        <f t="shared" si="2"/>
        <v>0</v>
      </c>
      <c r="I19" s="110">
        <f t="shared" si="3"/>
        <v>9354473576</v>
      </c>
      <c r="J19" s="16"/>
    </row>
    <row r="20" spans="1:14" ht="9.75" customHeight="1"/>
    <row r="21" spans="1:14" ht="30" customHeight="1">
      <c r="A21" s="114" t="s">
        <v>249</v>
      </c>
    </row>
    <row r="22" spans="1:14" ht="15" customHeight="1">
      <c r="I22" s="4" t="s">
        <v>131</v>
      </c>
      <c r="J22" s="15"/>
    </row>
    <row r="23" spans="1:14" ht="24.95" customHeight="1" thickBot="1">
      <c r="A23" s="849" t="s">
        <v>132</v>
      </c>
      <c r="B23" s="849" t="s">
        <v>133</v>
      </c>
      <c r="C23" s="849" t="s">
        <v>289</v>
      </c>
      <c r="D23" s="849"/>
      <c r="E23" s="851"/>
      <c r="F23" s="849" t="s">
        <v>288</v>
      </c>
      <c r="G23" s="849"/>
      <c r="H23" s="851"/>
      <c r="I23" s="849" t="s">
        <v>136</v>
      </c>
      <c r="J23" s="10"/>
      <c r="K23" s="12"/>
      <c r="L23" s="13"/>
      <c r="M23" s="7"/>
    </row>
    <row r="24" spans="1:14" ht="24.95" customHeight="1">
      <c r="A24" s="849"/>
      <c r="B24" s="849"/>
      <c r="C24" s="115" t="s">
        <v>287</v>
      </c>
      <c r="D24" s="93" t="s">
        <v>142</v>
      </c>
      <c r="E24" s="94" t="s">
        <v>183</v>
      </c>
      <c r="F24" s="116" t="s">
        <v>286</v>
      </c>
      <c r="G24" s="93" t="s">
        <v>285</v>
      </c>
      <c r="H24" s="94" t="s">
        <v>183</v>
      </c>
      <c r="I24" s="850"/>
      <c r="J24" s="10"/>
      <c r="K24" s="8"/>
      <c r="L24" s="12"/>
      <c r="M24" s="7"/>
    </row>
    <row r="25" spans="1:14" ht="30" customHeight="1">
      <c r="A25" s="95" t="s">
        <v>284</v>
      </c>
      <c r="B25" s="96">
        <f t="shared" ref="B25:I25" si="8">SUM(B26:B27)</f>
        <v>42242001864</v>
      </c>
      <c r="C25" s="96">
        <f t="shared" si="8"/>
        <v>-224869</v>
      </c>
      <c r="D25" s="97">
        <f t="shared" si="8"/>
        <v>2577539</v>
      </c>
      <c r="E25" s="98">
        <f t="shared" si="8"/>
        <v>2352670</v>
      </c>
      <c r="F25" s="99">
        <f t="shared" si="8"/>
        <v>-507629</v>
      </c>
      <c r="G25" s="97">
        <f t="shared" si="8"/>
        <v>12974853</v>
      </c>
      <c r="H25" s="98">
        <f t="shared" si="8"/>
        <v>12467224</v>
      </c>
      <c r="I25" s="99">
        <f t="shared" si="8"/>
        <v>42254469088</v>
      </c>
      <c r="J25" s="16"/>
      <c r="K25" s="11"/>
      <c r="L25" s="11"/>
      <c r="M25" s="7"/>
    </row>
    <row r="26" spans="1:14" ht="30" customHeight="1">
      <c r="A26" s="111" t="s">
        <v>283</v>
      </c>
      <c r="B26" s="112">
        <f>D32</f>
        <v>37646557814</v>
      </c>
      <c r="C26" s="100">
        <f>SUMIFS('3. 일입'!$N$7:$N$1820,'3. 일입'!$D$7:$D$1820, "&lt;&gt;"&amp;"", '3. 일입'!$N$7:$N$1820, "&lt;"&amp;0)</f>
        <v>-224869</v>
      </c>
      <c r="D26" s="112">
        <f>SUMIFS('3. 일입'!$N$7:$N$1820,'3. 일입'!$D$7:$D$1820, "&lt;&gt;"&amp;"", '3. 일입'!$N$7:$N$1820, "&gt;"&amp;0)</f>
        <v>2577539</v>
      </c>
      <c r="E26" s="101">
        <f>D26+C26</f>
        <v>2352670</v>
      </c>
      <c r="F26" s="102">
        <f>SUMIFS('3. 일출(자체)'!$P$6:$P$1834,'3. 일출(자체)'!$D$6:$D$1834, "&lt;&gt;"&amp;"", '3. 일출(자체)'!$P$6:$P$1834, "&lt;"&amp;0)+SUMIFS('3. 일출(의존)'!$P$6:$P$1826,'3. 일출(의존)'!$D$6:$D$1826, "&lt;&gt;"&amp;"", '3. 일출(의존)'!$P$6:$P$1826, "&lt;"&amp;0)</f>
        <v>-507629</v>
      </c>
      <c r="G26" s="102">
        <f>SUMIFS('3. 일출(자체)'!$P$6:$P$1834, '3. 일출(자체)'!$D$6:$D$1834, "&lt;&gt;"&amp;"", '3. 일출(자체)'!$P$6:$P$1834, "&gt;"&amp;0)+ SUMIFS('3. 일출(의존)'!$P$6:$P$1826,'3. 일출(의존)'!$D$6:$D$1826, "&lt;&gt;"&amp;"", '3. 일출(의존)'!$P$6:$P$1826, "&gt;"&amp;0)</f>
        <v>12974853</v>
      </c>
      <c r="H26" s="101">
        <f>G26+F26</f>
        <v>12467224</v>
      </c>
      <c r="I26" s="102">
        <f>B26+F26+G26</f>
        <v>37659025038</v>
      </c>
      <c r="J26" s="16"/>
      <c r="K26" s="11"/>
      <c r="L26" s="11"/>
      <c r="M26" s="90"/>
      <c r="N26" s="25"/>
    </row>
    <row r="27" spans="1:14" ht="30" customHeight="1" thickBot="1">
      <c r="A27" s="108" t="s">
        <v>143</v>
      </c>
      <c r="B27" s="109">
        <f>E32+F32</f>
        <v>4595444050</v>
      </c>
      <c r="C27" s="109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3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25">
        <f>D27+C27</f>
        <v>0</v>
      </c>
      <c r="F27" s="110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3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25">
        <f>G27+F27</f>
        <v>0</v>
      </c>
      <c r="I27" s="110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14"/>
      <c r="M29" s="25"/>
    </row>
    <row r="30" spans="1:14" ht="20.100000000000001" customHeight="1">
      <c r="A30" s="18" t="s">
        <v>250</v>
      </c>
      <c r="H30" s="514"/>
      <c r="I30" s="514"/>
    </row>
    <row r="31" spans="1:14" ht="20.100000000000001" customHeight="1">
      <c r="A31" s="122" t="s">
        <v>282</v>
      </c>
      <c r="B31" s="122" t="s">
        <v>281</v>
      </c>
      <c r="C31" s="122" t="s">
        <v>280</v>
      </c>
      <c r="D31" s="122" t="s">
        <v>279</v>
      </c>
      <c r="E31" s="122" t="s">
        <v>278</v>
      </c>
      <c r="F31" s="122" t="s">
        <v>144</v>
      </c>
    </row>
    <row r="32" spans="1:14" ht="20.100000000000001" customHeight="1">
      <c r="A32" s="121" t="s">
        <v>247</v>
      </c>
      <c r="B32" s="120">
        <f>SUM(B33:B43)</f>
        <v>42242001864</v>
      </c>
      <c r="C32" s="120">
        <f>SUM(C33:C43)</f>
        <v>42187089624</v>
      </c>
      <c r="D32" s="120">
        <f>SUM(D33:D43)</f>
        <v>37646557814</v>
      </c>
      <c r="E32" s="120">
        <f>SUM(E33:E43)</f>
        <v>4540531810</v>
      </c>
      <c r="F32" s="120">
        <f>SUM(F33:F43)</f>
        <v>54912240</v>
      </c>
      <c r="H32" s="402"/>
      <c r="I32" s="402"/>
      <c r="J32" s="402"/>
      <c r="K32" s="402"/>
      <c r="L32" s="402"/>
    </row>
    <row r="33" spans="1:12" ht="20.100000000000001" customHeight="1">
      <c r="A33" s="119" t="s">
        <v>137</v>
      </c>
      <c r="B33" s="117">
        <f t="shared" ref="B33:B43" si="9">SUM(D33:F33)</f>
        <v>129702008</v>
      </c>
      <c r="C33" s="117">
        <f t="shared" ref="C33:C41" si="10">D33+E33</f>
        <v>129702008</v>
      </c>
      <c r="D33" s="117">
        <v>129702008</v>
      </c>
      <c r="E33" s="117">
        <v>0</v>
      </c>
      <c r="F33" s="579">
        <v>0</v>
      </c>
      <c r="H33" s="402"/>
      <c r="I33" s="402"/>
      <c r="J33" s="402"/>
      <c r="K33" s="402"/>
      <c r="L33" s="402"/>
    </row>
    <row r="34" spans="1:12" ht="20.100000000000001" customHeight="1">
      <c r="A34" s="119" t="s">
        <v>238</v>
      </c>
      <c r="B34" s="117">
        <f t="shared" si="9"/>
        <v>5932148107</v>
      </c>
      <c r="C34" s="117">
        <f t="shared" si="10"/>
        <v>5932148107</v>
      </c>
      <c r="D34" s="117">
        <v>5892712561</v>
      </c>
      <c r="E34" s="117">
        <v>39435546</v>
      </c>
      <c r="F34" s="579">
        <v>0</v>
      </c>
      <c r="H34" s="402"/>
      <c r="I34" s="402"/>
      <c r="J34" s="402"/>
      <c r="K34" s="402"/>
      <c r="L34" s="402"/>
    </row>
    <row r="35" spans="1:12" ht="20.100000000000001" customHeight="1">
      <c r="A35" s="119" t="s">
        <v>277</v>
      </c>
      <c r="B35" s="117">
        <f t="shared" si="9"/>
        <v>474872242</v>
      </c>
      <c r="C35" s="117">
        <f t="shared" si="10"/>
        <v>474872242</v>
      </c>
      <c r="D35" s="117">
        <v>474872242</v>
      </c>
      <c r="E35" s="117">
        <v>0</v>
      </c>
      <c r="F35" s="579">
        <v>0</v>
      </c>
      <c r="H35" s="402"/>
      <c r="I35" s="402"/>
      <c r="J35" s="402"/>
      <c r="K35" s="402"/>
      <c r="L35" s="402"/>
    </row>
    <row r="36" spans="1:12" ht="20.100000000000001" customHeight="1">
      <c r="A36" s="119" t="s">
        <v>240</v>
      </c>
      <c r="B36" s="117">
        <f t="shared" si="9"/>
        <v>4269846310</v>
      </c>
      <c r="C36" s="117">
        <f t="shared" si="10"/>
        <v>4269846310</v>
      </c>
      <c r="D36" s="117">
        <v>2662231278</v>
      </c>
      <c r="E36" s="117">
        <v>1607615032</v>
      </c>
      <c r="F36" s="579">
        <v>0</v>
      </c>
      <c r="H36" s="402"/>
      <c r="I36" s="402"/>
      <c r="J36" s="402"/>
      <c r="K36" s="402"/>
      <c r="L36" s="402"/>
    </row>
    <row r="37" spans="1:12" ht="20.100000000000001" customHeight="1">
      <c r="A37" s="119" t="s">
        <v>138</v>
      </c>
      <c r="B37" s="117">
        <f t="shared" si="9"/>
        <v>554871567</v>
      </c>
      <c r="C37" s="117">
        <f t="shared" si="10"/>
        <v>554871567</v>
      </c>
      <c r="D37" s="117">
        <v>554871567</v>
      </c>
      <c r="E37" s="117">
        <v>0</v>
      </c>
      <c r="F37" s="579">
        <v>0</v>
      </c>
      <c r="H37" s="402"/>
      <c r="I37" s="402"/>
      <c r="J37" s="402"/>
      <c r="K37" s="402"/>
      <c r="L37" s="402"/>
    </row>
    <row r="38" spans="1:12" ht="20.100000000000001" customHeight="1">
      <c r="A38" s="119" t="s">
        <v>275</v>
      </c>
      <c r="B38" s="117">
        <f t="shared" si="9"/>
        <v>1195877261</v>
      </c>
      <c r="C38" s="117">
        <f t="shared" si="10"/>
        <v>1195877261</v>
      </c>
      <c r="D38" s="117">
        <v>1195877261</v>
      </c>
      <c r="E38" s="117">
        <v>0</v>
      </c>
      <c r="F38" s="579">
        <v>0</v>
      </c>
      <c r="H38" s="402"/>
      <c r="I38" s="402"/>
      <c r="J38" s="402"/>
      <c r="K38" s="402"/>
      <c r="L38" s="402"/>
    </row>
    <row r="39" spans="1:12" ht="20.100000000000001" customHeight="1">
      <c r="A39" s="119" t="s">
        <v>140</v>
      </c>
      <c r="B39" s="117">
        <f t="shared" si="9"/>
        <v>14042559485</v>
      </c>
      <c r="C39" s="117">
        <f t="shared" si="10"/>
        <v>14042559485</v>
      </c>
      <c r="D39" s="117">
        <v>11595408031</v>
      </c>
      <c r="E39" s="117">
        <v>2447151454</v>
      </c>
      <c r="F39" s="579">
        <v>0</v>
      </c>
      <c r="H39" s="402"/>
      <c r="I39" s="402"/>
      <c r="J39" s="402"/>
      <c r="K39" s="402"/>
      <c r="L39" s="402"/>
    </row>
    <row r="40" spans="1:12" ht="20.100000000000001" customHeight="1">
      <c r="A40" s="119" t="s">
        <v>241</v>
      </c>
      <c r="B40" s="117">
        <f t="shared" si="9"/>
        <v>3029412433</v>
      </c>
      <c r="C40" s="117">
        <f t="shared" si="10"/>
        <v>3029412433</v>
      </c>
      <c r="D40" s="117">
        <v>2869836504</v>
      </c>
      <c r="E40" s="117">
        <v>159575929</v>
      </c>
      <c r="F40" s="579">
        <v>0</v>
      </c>
      <c r="H40" s="402"/>
      <c r="I40" s="402"/>
      <c r="J40" s="402"/>
      <c r="K40" s="402"/>
      <c r="L40" s="402"/>
    </row>
    <row r="41" spans="1:12" ht="19.5" customHeight="1">
      <c r="A41" s="119" t="s">
        <v>166</v>
      </c>
      <c r="B41" s="117">
        <f t="shared" si="9"/>
        <v>2367511141</v>
      </c>
      <c r="C41" s="117">
        <f t="shared" si="10"/>
        <v>2345220241</v>
      </c>
      <c r="D41" s="117">
        <v>2170913256</v>
      </c>
      <c r="E41" s="117">
        <v>174306985</v>
      </c>
      <c r="F41" s="579">
        <v>22290900</v>
      </c>
      <c r="H41" s="402"/>
      <c r="I41" s="402"/>
      <c r="J41" s="402"/>
      <c r="K41" s="402"/>
      <c r="L41" s="402"/>
    </row>
    <row r="42" spans="1:12" ht="19.5" customHeight="1">
      <c r="A42" s="119" t="s">
        <v>1040</v>
      </c>
      <c r="B42" s="117">
        <f t="shared" ref="B42" si="11">SUM(D42:F42)</f>
        <v>890727734</v>
      </c>
      <c r="C42" s="117">
        <f t="shared" ref="C42:C43" si="12">D42+E42</f>
        <v>858106394</v>
      </c>
      <c r="D42" s="117">
        <v>858106394</v>
      </c>
      <c r="E42" s="117">
        <v>0</v>
      </c>
      <c r="F42" s="579">
        <v>32621340</v>
      </c>
      <c r="H42" s="402"/>
      <c r="I42" s="402"/>
      <c r="J42" s="402"/>
      <c r="K42" s="402"/>
      <c r="L42" s="402"/>
    </row>
    <row r="43" spans="1:12" ht="20.100000000000001" customHeight="1">
      <c r="A43" s="119" t="s">
        <v>242</v>
      </c>
      <c r="B43" s="117">
        <f t="shared" si="9"/>
        <v>9354473576</v>
      </c>
      <c r="C43" s="117">
        <f t="shared" si="12"/>
        <v>9354473576</v>
      </c>
      <c r="D43" s="117">
        <v>9242026712</v>
      </c>
      <c r="E43" s="117">
        <v>112446864</v>
      </c>
      <c r="F43" s="579">
        <v>0</v>
      </c>
      <c r="H43" s="402"/>
      <c r="I43" s="402"/>
      <c r="J43" s="402"/>
      <c r="K43" s="402"/>
      <c r="L43" s="402"/>
    </row>
    <row r="44" spans="1:12" ht="20.100000000000001" customHeight="1">
      <c r="D44" s="208"/>
      <c r="E44" s="208" t="s">
        <v>801</v>
      </c>
      <c r="F44" s="208"/>
    </row>
    <row r="45" spans="1:12" ht="20.100000000000001" customHeight="1">
      <c r="A45" s="118" t="s">
        <v>145</v>
      </c>
      <c r="B45" s="117">
        <v>42834815</v>
      </c>
      <c r="C45" s="117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:I2"/>
    <mergeCell ref="T5:T6"/>
    <mergeCell ref="O9:O10"/>
    <mergeCell ref="A6:A7"/>
    <mergeCell ref="B6:B7"/>
    <mergeCell ref="I6:I7"/>
    <mergeCell ref="C6:E6"/>
    <mergeCell ref="F6:H6"/>
    <mergeCell ref="A23:A24"/>
    <mergeCell ref="B23:B24"/>
    <mergeCell ref="I23:I24"/>
    <mergeCell ref="C23:E23"/>
    <mergeCell ref="F23:H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15"/>
  <sheetViews>
    <sheetView view="pageBreakPreview" zoomScale="55" zoomScaleNormal="55" zoomScaleSheetLayoutView="55" workbookViewId="0">
      <pane ySplit="7" topLeftCell="A8" activePane="bottomLeft" state="frozen"/>
      <selection pane="bottomLeft" activeCell="F16" sqref="F16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25" customWidth="1"/>
    <col min="14" max="17" width="25.625" style="414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14" customWidth="1"/>
    <col min="31" max="31" width="2.625" style="20" customWidth="1"/>
    <col min="32" max="35" width="20.625" style="414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14" customWidth="1"/>
    <col min="46" max="46" width="8.875" style="20" bestFit="1" customWidth="1"/>
    <col min="47" max="47" width="16.625" style="20" customWidth="1"/>
    <col min="48" max="48" width="20.625" style="414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14" customWidth="1"/>
    <col min="53" max="53" width="11.25" style="20" bestFit="1" customWidth="1"/>
    <col min="54" max="54" width="16.625" style="20" customWidth="1"/>
    <col min="55" max="55" width="20.625" style="414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297" customFormat="1" ht="90" customHeight="1">
      <c r="A1" s="890" t="s">
        <v>1042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  <c r="Q1" s="890"/>
      <c r="R1" s="890"/>
      <c r="S1" s="890"/>
      <c r="T1" s="890"/>
      <c r="U1" s="890"/>
      <c r="V1" s="890"/>
      <c r="W1" s="890"/>
      <c r="X1" s="890"/>
      <c r="Y1" s="890"/>
      <c r="AA1" s="897" t="s">
        <v>1047</v>
      </c>
      <c r="AB1" s="898"/>
      <c r="AC1" s="898"/>
      <c r="AD1" s="899"/>
      <c r="AF1" s="894" t="s">
        <v>1047</v>
      </c>
      <c r="AG1" s="895"/>
      <c r="AH1" s="895"/>
      <c r="AI1" s="896"/>
      <c r="AK1" s="881" t="s">
        <v>1091</v>
      </c>
      <c r="AL1" s="882"/>
      <c r="AM1" s="410"/>
      <c r="AN1" s="881" t="s">
        <v>1092</v>
      </c>
      <c r="AO1" s="882"/>
      <c r="AS1" s="870" t="s">
        <v>120</v>
      </c>
      <c r="AT1" s="871"/>
      <c r="AU1" s="871"/>
      <c r="AV1" s="871"/>
      <c r="AW1" s="871"/>
      <c r="AX1" s="872"/>
      <c r="AZ1" s="863" t="s">
        <v>120</v>
      </c>
      <c r="BA1" s="864"/>
      <c r="BB1" s="864"/>
      <c r="BC1" s="864"/>
      <c r="BD1" s="864"/>
      <c r="BE1" s="865"/>
    </row>
    <row r="2" spans="1:57" ht="39.75" customHeight="1">
      <c r="A2" s="22"/>
      <c r="B2" s="51"/>
      <c r="M2" s="414"/>
      <c r="Q2" s="415"/>
      <c r="AA2" s="426" t="s">
        <v>1122</v>
      </c>
      <c r="AB2" s="427"/>
      <c r="AC2" s="426" t="s">
        <v>1123</v>
      </c>
      <c r="AD2" s="427"/>
      <c r="AF2" s="426" t="s">
        <v>1122</v>
      </c>
      <c r="AG2" s="427"/>
      <c r="AH2" s="426" t="s">
        <v>1123</v>
      </c>
      <c r="AK2" s="406"/>
      <c r="AL2" s="406"/>
      <c r="AM2" s="21"/>
      <c r="AN2" s="406"/>
      <c r="AO2" s="406"/>
      <c r="AT2" s="338"/>
      <c r="AU2" s="338"/>
      <c r="AW2" s="338"/>
      <c r="AX2" s="338"/>
      <c r="BA2" s="338"/>
      <c r="BB2" s="338"/>
      <c r="BD2" s="338"/>
      <c r="BE2" s="338"/>
    </row>
    <row r="3" spans="1:57" ht="31.5">
      <c r="A3" s="22"/>
      <c r="M3" s="414"/>
      <c r="N3" s="416"/>
      <c r="O3" s="416"/>
      <c r="P3" s="416"/>
      <c r="Q3" s="416"/>
      <c r="R3" s="73"/>
      <c r="Y3" s="70" t="s">
        <v>114</v>
      </c>
      <c r="AA3" s="452" t="str">
        <f>IF(AA7='3. 일출(의존)'!AB6,"OK","@@")</f>
        <v>OK</v>
      </c>
      <c r="AB3" s="427"/>
      <c r="AC3" s="452" t="str">
        <f>IF(SUM(AB7:AD7) = SUM('3. 일출(자체)'!AC6:AE6) +  SUM('3. 일출(의존)'!AC6:AE6),"OK","@@")</f>
        <v>@@</v>
      </c>
      <c r="AD3" s="427"/>
      <c r="AF3" s="452" t="str">
        <f>IF(AF7='3. 일출(의존)'!AH6,"OK","@@")</f>
        <v>OK</v>
      </c>
      <c r="AG3" s="427"/>
      <c r="AH3" s="452" t="str">
        <f>IF(SUM(AG7:AI7) = SUM('3. 일출(자체)'!AH6:AJ6) +  SUM('3. 일출(의존)'!AI6:AK6),"OK","@@")</f>
        <v>OK</v>
      </c>
      <c r="AI3" s="427"/>
      <c r="AK3" s="406"/>
      <c r="AL3" s="406"/>
      <c r="AM3" s="21"/>
      <c r="AN3" s="409"/>
      <c r="AO3" s="409"/>
      <c r="AU3" s="23"/>
      <c r="AX3" s="23"/>
      <c r="BB3" s="23"/>
      <c r="BE3" s="23"/>
    </row>
    <row r="4" spans="1:57" s="294" customFormat="1" ht="39.950000000000003" customHeight="1">
      <c r="A4" s="885" t="s">
        <v>184</v>
      </c>
      <c r="B4" s="889" t="s">
        <v>110</v>
      </c>
      <c r="C4" s="889" t="s">
        <v>111</v>
      </c>
      <c r="D4" s="889" t="s">
        <v>185</v>
      </c>
      <c r="E4" s="891" t="s">
        <v>113</v>
      </c>
      <c r="F4" s="891" t="s">
        <v>1117</v>
      </c>
      <c r="G4" s="891" t="s">
        <v>251</v>
      </c>
      <c r="H4" s="885" t="s">
        <v>505</v>
      </c>
      <c r="I4" s="885" t="s">
        <v>503</v>
      </c>
      <c r="J4" s="885" t="s">
        <v>504</v>
      </c>
      <c r="K4" s="887" t="s">
        <v>2040</v>
      </c>
      <c r="L4" s="887" t="s">
        <v>1693</v>
      </c>
      <c r="M4" s="887" t="s">
        <v>1109</v>
      </c>
      <c r="N4" s="867" t="s">
        <v>1110</v>
      </c>
      <c r="O4" s="866" t="s">
        <v>1113</v>
      </c>
      <c r="P4" s="867" t="s">
        <v>1111</v>
      </c>
      <c r="Q4" s="866" t="s">
        <v>1112</v>
      </c>
      <c r="R4" s="893" t="s">
        <v>258</v>
      </c>
      <c r="S4" s="866" t="s">
        <v>255</v>
      </c>
      <c r="T4" s="866" t="s">
        <v>1114</v>
      </c>
      <c r="U4" s="866" t="s">
        <v>256</v>
      </c>
      <c r="V4" s="866" t="s">
        <v>1115</v>
      </c>
      <c r="W4" s="866" t="s">
        <v>298</v>
      </c>
      <c r="X4" s="867" t="s">
        <v>267</v>
      </c>
      <c r="Y4" s="891" t="s">
        <v>243</v>
      </c>
      <c r="Z4" s="293"/>
      <c r="AA4" s="905" t="s">
        <v>117</v>
      </c>
      <c r="AB4" s="906"/>
      <c r="AC4" s="906"/>
      <c r="AD4" s="905"/>
      <c r="AF4" s="907" t="s">
        <v>121</v>
      </c>
      <c r="AG4" s="908"/>
      <c r="AH4" s="908"/>
      <c r="AI4" s="907"/>
      <c r="AK4" s="883" t="s">
        <v>158</v>
      </c>
      <c r="AL4" s="884"/>
      <c r="AN4" s="883" t="s">
        <v>119</v>
      </c>
      <c r="AO4" s="884"/>
      <c r="AQ4" s="878" t="s">
        <v>1051</v>
      </c>
      <c r="AS4" s="873" t="s">
        <v>1120</v>
      </c>
      <c r="AT4" s="874"/>
      <c r="AU4" s="874"/>
      <c r="AV4" s="874"/>
      <c r="AW4" s="874"/>
      <c r="AX4" s="875"/>
      <c r="AZ4" s="860" t="s">
        <v>1121</v>
      </c>
      <c r="BA4" s="861"/>
      <c r="BB4" s="861"/>
      <c r="BC4" s="861"/>
      <c r="BD4" s="861"/>
      <c r="BE4" s="862"/>
    </row>
    <row r="5" spans="1:57" s="294" customFormat="1" ht="39.950000000000003" customHeight="1">
      <c r="A5" s="885"/>
      <c r="B5" s="889"/>
      <c r="C5" s="889"/>
      <c r="D5" s="889"/>
      <c r="E5" s="891"/>
      <c r="F5" s="891"/>
      <c r="G5" s="891"/>
      <c r="H5" s="885"/>
      <c r="I5" s="885"/>
      <c r="J5" s="885"/>
      <c r="K5" s="887"/>
      <c r="L5" s="887"/>
      <c r="M5" s="887"/>
      <c r="N5" s="868"/>
      <c r="O5" s="866"/>
      <c r="P5" s="868"/>
      <c r="Q5" s="866"/>
      <c r="R5" s="893"/>
      <c r="S5" s="866"/>
      <c r="T5" s="866"/>
      <c r="U5" s="866"/>
      <c r="V5" s="866"/>
      <c r="W5" s="866"/>
      <c r="X5" s="868"/>
      <c r="Y5" s="891"/>
      <c r="Z5" s="293"/>
      <c r="AA5" s="900" t="s">
        <v>158</v>
      </c>
      <c r="AB5" s="902" t="s">
        <v>119</v>
      </c>
      <c r="AC5" s="903"/>
      <c r="AD5" s="904"/>
      <c r="AF5" s="900" t="s">
        <v>158</v>
      </c>
      <c r="AG5" s="902" t="s">
        <v>119</v>
      </c>
      <c r="AH5" s="903"/>
      <c r="AI5" s="904"/>
      <c r="AK5" s="876" t="s">
        <v>1081</v>
      </c>
      <c r="AL5" s="876" t="s">
        <v>116</v>
      </c>
      <c r="AM5" s="368"/>
      <c r="AN5" s="876" t="s">
        <v>1081</v>
      </c>
      <c r="AO5" s="876" t="s">
        <v>116</v>
      </c>
      <c r="AQ5" s="879"/>
      <c r="AS5" s="857" t="s">
        <v>158</v>
      </c>
      <c r="AT5" s="858"/>
      <c r="AU5" s="859"/>
      <c r="AV5" s="857" t="s">
        <v>119</v>
      </c>
      <c r="AW5" s="858"/>
      <c r="AX5" s="859"/>
      <c r="AZ5" s="857" t="s">
        <v>158</v>
      </c>
      <c r="BA5" s="858"/>
      <c r="BB5" s="859"/>
      <c r="BC5" s="857" t="s">
        <v>1068</v>
      </c>
      <c r="BD5" s="858"/>
      <c r="BE5" s="859"/>
    </row>
    <row r="6" spans="1:57" s="294" customFormat="1" ht="60" customHeight="1">
      <c r="A6" s="885"/>
      <c r="B6" s="889"/>
      <c r="C6" s="889"/>
      <c r="D6" s="889"/>
      <c r="E6" s="891"/>
      <c r="F6" s="891"/>
      <c r="G6" s="891"/>
      <c r="H6" s="885"/>
      <c r="I6" s="885"/>
      <c r="J6" s="885"/>
      <c r="K6" s="888"/>
      <c r="L6" s="888"/>
      <c r="M6" s="888"/>
      <c r="N6" s="869"/>
      <c r="O6" s="892"/>
      <c r="P6" s="869"/>
      <c r="Q6" s="892"/>
      <c r="R6" s="893"/>
      <c r="S6" s="866"/>
      <c r="T6" s="866"/>
      <c r="U6" s="866"/>
      <c r="V6" s="866"/>
      <c r="W6" s="866"/>
      <c r="X6" s="869"/>
      <c r="Y6" s="889"/>
      <c r="Z6" s="293"/>
      <c r="AA6" s="901"/>
      <c r="AB6" s="429" t="s">
        <v>1067</v>
      </c>
      <c r="AC6" s="429" t="s">
        <v>1064</v>
      </c>
      <c r="AD6" s="429" t="s">
        <v>776</v>
      </c>
      <c r="AF6" s="901"/>
      <c r="AG6" s="429" t="s">
        <v>1066</v>
      </c>
      <c r="AH6" s="429" t="s">
        <v>1063</v>
      </c>
      <c r="AI6" s="429" t="s">
        <v>1065</v>
      </c>
      <c r="AK6" s="877"/>
      <c r="AL6" s="877"/>
      <c r="AM6" s="368"/>
      <c r="AN6" s="877"/>
      <c r="AO6" s="877"/>
      <c r="AQ6" s="880"/>
      <c r="AS6" s="429" t="s">
        <v>183</v>
      </c>
      <c r="AT6" s="295" t="s">
        <v>126</v>
      </c>
      <c r="AU6" s="340" t="s">
        <v>1079</v>
      </c>
      <c r="AV6" s="429" t="s">
        <v>183</v>
      </c>
      <c r="AW6" s="329" t="s">
        <v>126</v>
      </c>
      <c r="AX6" s="340" t="s">
        <v>1079</v>
      </c>
      <c r="AZ6" s="429" t="s">
        <v>183</v>
      </c>
      <c r="BA6" s="295" t="s">
        <v>126</v>
      </c>
      <c r="BB6" s="340" t="s">
        <v>1079</v>
      </c>
      <c r="BC6" s="429" t="s">
        <v>183</v>
      </c>
      <c r="BD6" s="329" t="s">
        <v>126</v>
      </c>
      <c r="BE6" s="340" t="s">
        <v>1079</v>
      </c>
    </row>
    <row r="7" spans="1:57" s="358" customFormat="1" ht="80.099999999999994" customHeight="1">
      <c r="A7" s="363"/>
      <c r="B7" s="149" t="s">
        <v>252</v>
      </c>
      <c r="C7" s="361"/>
      <c r="D7" s="361"/>
      <c r="E7" s="361"/>
      <c r="F7" s="361"/>
      <c r="G7" s="361"/>
      <c r="H7" s="352"/>
      <c r="I7" s="366"/>
      <c r="J7" s="352" t="str">
        <f>SUBTOTAL(3,J$8:J$1820)&amp;"건"</f>
        <v>7건</v>
      </c>
      <c r="K7" s="417">
        <f t="shared" ref="K7:Q7" si="0">SUBTOTAL(9,K$8:K$1820)</f>
        <v>32934788</v>
      </c>
      <c r="L7" s="417">
        <f t="shared" si="0"/>
        <v>2072287</v>
      </c>
      <c r="M7" s="417">
        <f t="shared" si="0"/>
        <v>35007075</v>
      </c>
      <c r="N7" s="417">
        <f t="shared" si="0"/>
        <v>2352670</v>
      </c>
      <c r="O7" s="417">
        <f t="shared" si="0"/>
        <v>37359745</v>
      </c>
      <c r="P7" s="417">
        <f t="shared" si="0"/>
        <v>0</v>
      </c>
      <c r="Q7" s="417">
        <f t="shared" si="0"/>
        <v>35007075</v>
      </c>
      <c r="R7" s="149"/>
      <c r="S7" s="149"/>
      <c r="T7" s="149"/>
      <c r="U7" s="149"/>
      <c r="V7" s="149"/>
      <c r="W7" s="149"/>
      <c r="X7" s="149"/>
      <c r="Y7" s="363"/>
      <c r="Z7" s="364"/>
      <c r="AA7" s="417">
        <f>SUBTOTAL(9,AA$8:AA$1820)</f>
        <v>2348420</v>
      </c>
      <c r="AB7" s="417">
        <f>SUBTOTAL(9,AB$8:AB$1820)</f>
        <v>0</v>
      </c>
      <c r="AC7" s="417">
        <f>SUBTOTAL(9,AC$8:AC$1820)</f>
        <v>4250</v>
      </c>
      <c r="AD7" s="417">
        <f>SUBTOTAL(9,AD$8:AD$1820)</f>
        <v>0</v>
      </c>
      <c r="AF7" s="417">
        <f>SUBTOTAL(9,AF$8:AF$1820)</f>
        <v>0</v>
      </c>
      <c r="AG7" s="417">
        <f>SUBTOTAL(9,AG$8:AG$1820)</f>
        <v>0</v>
      </c>
      <c r="AH7" s="417">
        <f>SUBTOTAL(9,AH$8:AH$1820)</f>
        <v>0</v>
      </c>
      <c r="AI7" s="417">
        <f>SUBTOTAL(9,AI$8:AI$1820)</f>
        <v>0</v>
      </c>
      <c r="AK7" s="356"/>
      <c r="AL7" s="356"/>
      <c r="AN7" s="356"/>
      <c r="AO7" s="356"/>
      <c r="AQ7" s="356"/>
      <c r="AS7" s="417">
        <f>SUBTOTAL(9,AS$8:AS$1820)</f>
        <v>2348420</v>
      </c>
      <c r="AT7" s="367">
        <f>SUBTOTAL(9,AT$8:AT$1820)</f>
        <v>8</v>
      </c>
      <c r="AU7" s="365" t="str">
        <f>IF(COUNTIF(AU$8:AU$1820,"@@")&gt;0,"@@","OK")</f>
        <v>OK</v>
      </c>
      <c r="AV7" s="417">
        <f>SUBTOTAL(9,AV$8:AV$1820)</f>
        <v>4250</v>
      </c>
      <c r="AW7" s="367">
        <f>SUBTOTAL(9,AW$8:AW$1820)</f>
        <v>2</v>
      </c>
      <c r="AX7" s="365" t="str">
        <f>IF(COUNTIF(AX$8:AX$1820,"@@")&gt;0,"@@","OK")</f>
        <v>OK</v>
      </c>
      <c r="AZ7" s="417">
        <f>SUBTOTAL(9,AZ$8:AZ$1820)</f>
        <v>0</v>
      </c>
      <c r="BA7" s="367">
        <f>SUBTOTAL(9,BA$8:BA$1820)</f>
        <v>8</v>
      </c>
      <c r="BB7" s="365" t="str">
        <f>IF(COUNTIF(BB$8:BB$1820,"@@")&gt;0,"@@","OK")</f>
        <v>OK</v>
      </c>
      <c r="BC7" s="417">
        <f>SUBTOTAL(9,BC$8:BC$1820)</f>
        <v>0</v>
      </c>
      <c r="BD7" s="367">
        <f>SUBTOTAL(9,BD$8:BD$1820)</f>
        <v>2</v>
      </c>
      <c r="BE7" s="365" t="str">
        <f>IF(COUNTIF(BE$8:BE$1820,"@@")&gt;0,"@@","OK")</f>
        <v>OK</v>
      </c>
    </row>
    <row r="8" spans="1:57" s="55" customFormat="1" ht="60" customHeight="1">
      <c r="A8" s="179"/>
      <c r="B8" s="886" t="s">
        <v>758</v>
      </c>
      <c r="C8" s="886"/>
      <c r="D8" s="886"/>
      <c r="E8" s="886"/>
      <c r="F8" s="886"/>
      <c r="G8" s="886"/>
      <c r="H8" s="180"/>
      <c r="I8" s="130"/>
      <c r="J8" s="371" t="str">
        <f>SUBTOTAL(3,J9:J15)&amp;"건"</f>
        <v>7건</v>
      </c>
      <c r="K8" s="418">
        <f t="shared" ref="K8:Q8" si="1">SUBTOTAL(9,K9:K15)</f>
        <v>32934788</v>
      </c>
      <c r="L8" s="418">
        <f t="shared" si="1"/>
        <v>2072287</v>
      </c>
      <c r="M8" s="418">
        <f t="shared" si="1"/>
        <v>35007075</v>
      </c>
      <c r="N8" s="418">
        <f t="shared" si="1"/>
        <v>2352670</v>
      </c>
      <c r="O8" s="418">
        <f t="shared" si="1"/>
        <v>37359745</v>
      </c>
      <c r="P8" s="418">
        <f t="shared" si="1"/>
        <v>0</v>
      </c>
      <c r="Q8" s="418">
        <f t="shared" si="1"/>
        <v>35007075</v>
      </c>
      <c r="R8" s="77"/>
      <c r="S8" s="77"/>
      <c r="T8" s="77"/>
      <c r="U8" s="77"/>
      <c r="V8" s="129"/>
      <c r="W8" s="129"/>
      <c r="X8" s="129"/>
      <c r="Y8" s="131"/>
      <c r="Z8" s="132"/>
      <c r="AA8" s="430">
        <f>SUBTOTAL(9,AA9:AA15)</f>
        <v>2348420</v>
      </c>
      <c r="AB8" s="430">
        <f>SUBTOTAL(9,AB9:AB15)</f>
        <v>0</v>
      </c>
      <c r="AC8" s="430">
        <f>SUBTOTAL(9,AC9:AC15)</f>
        <v>4250</v>
      </c>
      <c r="AD8" s="430">
        <f>SUBTOTAL(9,AD9:AD15)</f>
        <v>0</v>
      </c>
      <c r="AE8" s="136"/>
      <c r="AF8" s="430">
        <f>SUBTOTAL(9,AF9:AF15)</f>
        <v>0</v>
      </c>
      <c r="AG8" s="430">
        <f>SUBTOTAL(9,AG9:AG15)</f>
        <v>0</v>
      </c>
      <c r="AH8" s="430">
        <f>SUBTOTAL(9,AH9:AH15)</f>
        <v>0</v>
      </c>
      <c r="AI8" s="430">
        <f>SUBTOTAL(9,AI9:AI15)</f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30">
        <f>SUBTOTAL(9,AS9:AS15)</f>
        <v>2348420</v>
      </c>
      <c r="AT8" s="430">
        <f>SUBTOTAL(9,AT9:AT15)</f>
        <v>8</v>
      </c>
      <c r="AU8" s="509" t="str">
        <f>IF(COUNTIF(AU9:AU15,"@@")&gt;0,"@@","OK")</f>
        <v>OK</v>
      </c>
      <c r="AV8" s="430">
        <f>SUBTOTAL(9,AV9:AV15)</f>
        <v>4250</v>
      </c>
      <c r="AW8" s="430">
        <f>SUBTOTAL(9,AW9:AW15)</f>
        <v>2</v>
      </c>
      <c r="AX8" s="509" t="str">
        <f>IF(COUNTIF(AX9:AX15,"@@")&gt;0,"@@","OK")</f>
        <v>OK</v>
      </c>
      <c r="AY8" s="52"/>
      <c r="AZ8" s="430">
        <f>SUBTOTAL(9,AZ9:AZ15)</f>
        <v>0</v>
      </c>
      <c r="BA8" s="430">
        <f>SUBTOTAL(9,BA9:BA15)</f>
        <v>8</v>
      </c>
      <c r="BB8" s="509" t="str">
        <f>IF(COUNTIF(BB9:BB15,"@@")&gt;0,"@@","OK")</f>
        <v>OK</v>
      </c>
      <c r="BC8" s="430">
        <f>SUBTOTAL(9,BC9:BC15)</f>
        <v>0</v>
      </c>
      <c r="BD8" s="430">
        <f>SUBTOTAL(9,BD9:BD15)</f>
        <v>2</v>
      </c>
      <c r="BE8" s="509" t="str">
        <f>IF(COUNTIF(BE9:BE15,"@@")&gt;0,"@@","OK")</f>
        <v>OK</v>
      </c>
    </row>
    <row r="9" spans="1:57" s="19" customFormat="1" ht="80.099999999999994" customHeight="1">
      <c r="A9" s="126">
        <f>IF(D9="","",COUNTA($C$8:C9)-COUNTBLANK($C$8:C9)+6)</f>
        <v>6</v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>농정해양위원회</v>
      </c>
      <c r="C9" s="127" t="str">
        <f>IF(D9="","",IF(OR(D9="교육지원과",D9="총무과",D9="인사과"),"직접입력",VLOOKUP(D9,구분표!$A$3:$C$258,3,)))</f>
        <v>농수산생명과학국</v>
      </c>
      <c r="D9" s="187" t="s">
        <v>218</v>
      </c>
      <c r="E9" s="181" t="s">
        <v>1697</v>
      </c>
      <c r="F9" s="350" t="s">
        <v>2041</v>
      </c>
      <c r="G9" s="350" t="s">
        <v>2041</v>
      </c>
      <c r="H9" s="181" t="s">
        <v>2042</v>
      </c>
      <c r="I9" s="127" t="str">
        <f>IF(H9="","",VLOOKUP($H9,구분표!$O$3:$P$168,2,FALSE))</f>
        <v>국고보조금</v>
      </c>
      <c r="J9" s="183" t="s">
        <v>2043</v>
      </c>
      <c r="K9" s="419" t="str">
        <f>IF($E9="","",IF(OR($E9="2추", $E9="1추", $E9="본예산"), "금액입력", "-"))</f>
        <v>-</v>
      </c>
      <c r="L9" s="419" t="str">
        <f>IF($E9="", "", IF($E9="2추","금액입력", "-"))</f>
        <v>-</v>
      </c>
      <c r="M9" s="421">
        <f t="shared" ref="M9:M15" si="2">IF($E9="","",SUM(K9:L9))</f>
        <v>0</v>
      </c>
      <c r="N9" s="420">
        <v>41339</v>
      </c>
      <c r="O9" s="421">
        <f t="shared" ref="O9:O15" si="3">SUM(M9:N9)</f>
        <v>41339</v>
      </c>
      <c r="P9" s="422"/>
      <c r="Q9" s="423">
        <f t="shared" ref="Q9:Q15" si="4">SUM(M9,P9)</f>
        <v>0</v>
      </c>
      <c r="R9" s="133" t="str">
        <f t="shared" ref="R9:R15" si="5">IF(AND((O9=0),(Q9&gt;0)),"O",IF(AND((N9&lt;0),(O9-Q9&lt;0)),"O","X"))</f>
        <v>X</v>
      </c>
      <c r="S9" s="184" t="s">
        <v>2044</v>
      </c>
      <c r="T9" s="292"/>
      <c r="U9" s="185"/>
      <c r="V9" s="172"/>
      <c r="W9" s="185"/>
      <c r="X9" s="185"/>
      <c r="Y9" s="133" t="str">
        <f t="shared" ref="Y9:Y15" si="6">IF($H9="","",IF(OR($H9="511-01", $H9="511-02", $H9="511-03", $H9="311-02", $H9="311-04", $H9="321-01"),"국비","도비"))</f>
        <v>국비</v>
      </c>
      <c r="Z9" s="44"/>
      <c r="AA9" s="431">
        <f t="shared" ref="AA9:AA15" si="7">IF($Y9="국비", IF($N9&lt;&gt;"", $N9, 0), "")</f>
        <v>41339</v>
      </c>
      <c r="AB9" s="431" t="str">
        <f t="shared" ref="AB9:AB15" si="8">IF($Y9="도비", IF($AO9="자체", IF($N9&lt;&gt;"",$N9,0),""), "")</f>
        <v/>
      </c>
      <c r="AC9" s="431" t="str">
        <f t="shared" ref="AC9:AC15" si="9">IF($Y9="도비",IF($AO9="지방채",IF($N9&lt;&gt;"",$N9,0),""), "")</f>
        <v/>
      </c>
      <c r="AD9" s="431" t="str">
        <f t="shared" ref="AD9:AD15" si="10">IF($Y9="도비",IF($AO9="지역개발기금",IF($N9&lt;&gt;"",$N9,0),""),"")</f>
        <v/>
      </c>
      <c r="AE9" s="45"/>
      <c r="AF9" s="431">
        <f t="shared" ref="AF9:AF15" si="11">IF($Y9="국비", IF($P9&lt;&gt;"", $P9, 0), "")</f>
        <v>0</v>
      </c>
      <c r="AG9" s="431" t="str">
        <f t="shared" ref="AG9:AG15" si="12">IF($Y9="도비", IF($AO9="자체", IF($P9&lt;&gt;"",$P9,0),""), "")</f>
        <v/>
      </c>
      <c r="AH9" s="431" t="str">
        <f t="shared" ref="AH9:AH15" si="13">IF($Y9="도비",IF($AO9="지방채",IF($P9&lt;&gt;"",$P9,0),""), "")</f>
        <v/>
      </c>
      <c r="AI9" s="431" t="str">
        <f t="shared" ref="AI9:AI15" si="14">IF($Y9="도비",IF($AO9="지역개발기금",IF($P9&lt;&gt;"",$P9,0),""),"")</f>
        <v/>
      </c>
      <c r="AJ9" s="86"/>
      <c r="AK9" s="336" t="str">
        <f>IF($AQ9="","", IF(OR($AL9="", $AL9="도비"), "", CONCATENATE($AQ9,"-",COUNTIF($AQ$8:$AQ9,$AQ9))))</f>
        <v>14004-1</v>
      </c>
      <c r="AL9" s="336" t="str">
        <f t="shared" ref="AL9:AL15" si="15">IF($H9="","",IF($H9="511-01","국비",IF($H9="511-02","균특",IF($H9="511-03","기금",IF($H9="311-02","특교",IF($H9="311-04","소교",IF($H9="321-01","소멸","도비")))))))</f>
        <v>국비</v>
      </c>
      <c r="AM9" s="86"/>
      <c r="AN9" s="337" t="str">
        <f>IF($AQ9="","", IF(OR($AO9="", $AO9="국비", $AO9="자체"), "", CONCATENATE($AQ9,"-", $AO9,"-",COUNTIF($AQ$8:$AQ9, $AQ9))))</f>
        <v/>
      </c>
      <c r="AO9" s="337" t="str">
        <f t="shared" ref="AO9:AO15" si="16">IF($Y9="","", IF($Y9="국비", "국비", IF($H9="612-01","지방채",IF($H9="722-02","지역개발기금","자체"))))</f>
        <v>국비</v>
      </c>
      <c r="AP9" s="86"/>
      <c r="AQ9" s="336" t="str">
        <f t="array" ref="AQ9">IF(OR($D9="", $C9="직접입력", $B9="직접입력"),"",INDEX(구분표!$I$2:$I$337, MATCH(1,(구분표!$G$2:$G$337='3. 일입'!$B9)*(구분표!$E$2:$E$337='3. 일입'!$C9)*(구분표!$F$2:$F$337='3. 일입'!$D9),0)))</f>
        <v>14004</v>
      </c>
      <c r="AR9" s="86"/>
      <c r="AS9" s="432">
        <f>IF($AK9="","", SUMIFS('3. 일출(의존)'!$AB$7:$AB$1826,'3. 일출(의존)'!$AN$7:$AN$1826,$AK9))</f>
        <v>41339</v>
      </c>
      <c r="AT9" s="339">
        <f>IF($AK9="","", COUNTIF('3. 일출(의존)'!$AN$7:$AN$1826,$AK9))</f>
        <v>1</v>
      </c>
      <c r="AU9" s="336" t="str">
        <f t="shared" ref="AU9:AU15" si="17">IF($AK9="", "", IF($AA9=$AS9,"OK","@@"))</f>
        <v>OK</v>
      </c>
      <c r="AV9" s="432" t="str">
        <f>IF($AN9="","",IF($AO9="지역개발기금",SUMIFS('3. 일출(의존)'!$AE$7:$AE$1837,'3. 일출(의존)'!$AS$7:$AS$1837,$AN9)+SUMIFS('3. 일출(자체)'!$AE$7:$AE$1845,'3. 일출(자체)'!$AM$7:$AM$1845,$AN9),IF($AO9="지방채",SUMIFS('3. 일출(의존)'!$AD$7:$AD$1837,'3. 일출(의존)'!$AS$7:$AS$1837,$AN9)+SUMIFS('3. 일출(자체)'!$AD$7:$AD$1845,'3. 일출(자체)'!$AM$7:$AM$1845,$AN9),0)))</f>
        <v/>
      </c>
      <c r="AW9" s="339" t="str">
        <f>IF($AN9="","", COUNTIF('3. 일출(의존)'!$AS$7:$AS$1837,$AN9)+COUNTIF('3. 일출(자체)'!$AM$7:$AM$1845,$AN9))</f>
        <v/>
      </c>
      <c r="AX9" s="336" t="str">
        <f t="shared" ref="AX9:AX15" si="18">IF($AN9="","", IF($AO9="자체","", IF($AO9="지방채", IF($AC9=$AV9, "OK", "@@"),  IF($AO9="지역개발기금", IF($AD9=$AV9,"OK","@@"), "@@"))))</f>
        <v/>
      </c>
      <c r="AY9" s="87"/>
      <c r="AZ9" s="432">
        <f>IF($AK9="","", SUMIFS('3. 일출(의존)'!$AH$7:$AH$1826,'3. 일출(의존)'!$AN$7:$AN$1826,$AK9))</f>
        <v>0</v>
      </c>
      <c r="BA9" s="339">
        <f>IF($AK9="","", COUNTIF('3. 일출(의존)'!$AN$7:$AN$1826,$AK9))</f>
        <v>1</v>
      </c>
      <c r="BB9" s="336" t="str">
        <f t="shared" ref="BB9:BB15" si="19">IF($AK9="", "", IF($AF9=$AZ9,"OK","@@"))</f>
        <v>OK</v>
      </c>
      <c r="BC9" s="432" t="str">
        <f>IF($AN9="","",IF($AO9="지역개발기금",SUMIFS('3. 일출(의존)'!$AK$7:$AK$1837,'3. 일출(의존)'!$AS$7:$AS$1837,$AN9)+SUMIFS('3. 일출(자체)'!$AJ$7:$AJ$1845,'3. 일출(자체)'!$AM$7:$AM$1845,$AN9),IF($AO9="지방채",SUMIFS('3. 일출(의존)'!$AJ$7:$AJ$1837,'3. 일출(의존)'!$AS$7:$AS$1837,$AN9)+SUMIFS('3. 일출(자체)'!$AI$7:$AI$1845,'3. 일출(자체)'!$AM$7:$AM$1845,$AN9),0)))</f>
        <v/>
      </c>
      <c r="BD9" s="339" t="str">
        <f>IF($AN9="","",COUNTIF('3. 일출(의존)'!$AS$7:$AS$1837,$AN9)+COUNTIF('3. 일출(자체)'!$AM$7:$AM$1845,$AN9))</f>
        <v/>
      </c>
      <c r="BE9" s="336" t="str">
        <f t="shared" ref="BE9:BE15" si="20">IF($AN9="","", IF($AO9="자체", "", IF($AO9="지방채", IF($AH9=$BC9, "OK", "@@"),  IF($AO9="지역개발기금", IF($AI9=$BC9,"OK","@@"), "@@"))))</f>
        <v/>
      </c>
    </row>
    <row r="10" spans="1:57" s="19" customFormat="1" ht="80.099999999999994" customHeight="1">
      <c r="A10" s="126">
        <f>IF(D10="","",COUNTA($C$8:C10)-COUNTBLANK($C$8:C10)+6)</f>
        <v>7</v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>농정해양위원회</v>
      </c>
      <c r="C10" s="127" t="str">
        <f>IF(D10="","",IF(OR(D10="교육지원과",D10="총무과",D10="인사과"),"직접입력",VLOOKUP(D10,구분표!$A$3:$C$258,3,)))</f>
        <v>축산동물복지국</v>
      </c>
      <c r="D10" s="187" t="s">
        <v>76</v>
      </c>
      <c r="E10" s="181" t="s">
        <v>1694</v>
      </c>
      <c r="F10" s="350">
        <v>645</v>
      </c>
      <c r="G10" s="350">
        <v>15</v>
      </c>
      <c r="H10" s="181" t="s">
        <v>2076</v>
      </c>
      <c r="I10" s="127" t="str">
        <f>IF(H10="","",VLOOKUP($H10,구분표!$O$3:$P$168,2,FALSE))</f>
        <v>기금</v>
      </c>
      <c r="J10" s="183" t="s">
        <v>2078</v>
      </c>
      <c r="K10" s="419">
        <v>334000</v>
      </c>
      <c r="L10" s="419">
        <v>39000</v>
      </c>
      <c r="M10" s="421">
        <f t="shared" si="2"/>
        <v>373000</v>
      </c>
      <c r="N10" s="420">
        <v>40000</v>
      </c>
      <c r="O10" s="421">
        <f t="shared" si="3"/>
        <v>413000</v>
      </c>
      <c r="P10" s="422"/>
      <c r="Q10" s="423">
        <f t="shared" si="4"/>
        <v>373000</v>
      </c>
      <c r="R10" s="133" t="str">
        <f t="shared" si="5"/>
        <v>X</v>
      </c>
      <c r="S10" s="184" t="s">
        <v>2084</v>
      </c>
      <c r="T10" s="292"/>
      <c r="U10" s="185"/>
      <c r="V10" s="172"/>
      <c r="W10" s="185"/>
      <c r="X10" s="185"/>
      <c r="Y10" s="133" t="str">
        <f t="shared" si="6"/>
        <v>국비</v>
      </c>
      <c r="Z10" s="44"/>
      <c r="AA10" s="431">
        <f t="shared" si="7"/>
        <v>40000</v>
      </c>
      <c r="AB10" s="431" t="str">
        <f t="shared" si="8"/>
        <v/>
      </c>
      <c r="AC10" s="431" t="str">
        <f t="shared" si="9"/>
        <v/>
      </c>
      <c r="AD10" s="431" t="str">
        <f t="shared" si="10"/>
        <v/>
      </c>
      <c r="AE10" s="45"/>
      <c r="AF10" s="431">
        <f t="shared" si="11"/>
        <v>0</v>
      </c>
      <c r="AG10" s="431" t="str">
        <f t="shared" si="12"/>
        <v/>
      </c>
      <c r="AH10" s="431" t="str">
        <f t="shared" si="13"/>
        <v/>
      </c>
      <c r="AI10" s="431" t="str">
        <f t="shared" si="14"/>
        <v/>
      </c>
      <c r="AJ10" s="86"/>
      <c r="AK10" s="336" t="str">
        <f>IF($AQ10="","", IF(OR($AL10="", $AL10="도비"), "", CONCATENATE($AQ10,"-",COUNTIF($AQ$8:$AQ10,$AQ10))))</f>
        <v>20701-1</v>
      </c>
      <c r="AL10" s="336" t="str">
        <f t="shared" si="15"/>
        <v>기금</v>
      </c>
      <c r="AM10" s="86"/>
      <c r="AN10" s="337" t="str">
        <f>IF($AQ10="","", IF(OR($AO10="", $AO10="국비", $AO10="자체"), "", CONCATENATE($AQ10,"-", $AO10,"-",COUNTIF($AQ$8:$AQ10, $AQ10))))</f>
        <v/>
      </c>
      <c r="AO10" s="337" t="str">
        <f t="shared" si="16"/>
        <v>국비</v>
      </c>
      <c r="AP10" s="86"/>
      <c r="AQ10" s="336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>20701</v>
      </c>
      <c r="AR10" s="86"/>
      <c r="AS10" s="432">
        <f>IF($AK10="","", SUMIFS('3. 일출(의존)'!$AB$7:$AB$1826,'3. 일출(의존)'!$AN$7:$AN$1826,$AK10))</f>
        <v>40000</v>
      </c>
      <c r="AT10" s="339">
        <f>IF($AK10="","", COUNTIF('3. 일출(의존)'!$AN$7:$AN$1826,$AK10))</f>
        <v>1</v>
      </c>
      <c r="AU10" s="336" t="str">
        <f t="shared" si="17"/>
        <v>OK</v>
      </c>
      <c r="AV10" s="432" t="str">
        <f>IF($AN10="","",IF($AO10="지역개발기금",SUMIFS('3. 일출(의존)'!$AE$7:$AE$1837,'3. 일출(의존)'!$AS$7:$AS$1837,$AN10)+SUMIFS('3. 일출(자체)'!$AE$7:$AE$1845,'3. 일출(자체)'!$AM$7:$AM$1845,$AN10),IF($AO10="지방채",SUMIFS('3. 일출(의존)'!$AD$7:$AD$1837,'3. 일출(의존)'!$AS$7:$AS$1837,$AN10)+SUMIFS('3. 일출(자체)'!$AD$7:$AD$1845,'3. 일출(자체)'!$AM$7:$AM$1845,$AN10),0)))</f>
        <v/>
      </c>
      <c r="AW10" s="339" t="str">
        <f>IF($AN10="","", COUNTIF('3. 일출(의존)'!$AS$7:$AS$1837,$AN10)+COUNTIF('3. 일출(자체)'!$AM$7:$AM$1845,$AN10))</f>
        <v/>
      </c>
      <c r="AX10" s="336" t="str">
        <f t="shared" si="18"/>
        <v/>
      </c>
      <c r="AY10" s="87"/>
      <c r="AZ10" s="432">
        <f>IF($AK10="","", SUMIFS('3. 일출(의존)'!$AH$7:$AH$1826,'3. 일출(의존)'!$AN$7:$AN$1826,$AK10))</f>
        <v>0</v>
      </c>
      <c r="BA10" s="339">
        <f>IF($AK10="","", COUNTIF('3. 일출(의존)'!$AN$7:$AN$1826,$AK10))</f>
        <v>1</v>
      </c>
      <c r="BB10" s="336" t="str">
        <f t="shared" si="19"/>
        <v>OK</v>
      </c>
      <c r="BC10" s="432" t="str">
        <f>IF($AN10="","",IF($AO10="지역개발기금",SUMIFS('3. 일출(의존)'!$AK$7:$AK$1837,'3. 일출(의존)'!$AS$7:$AS$1837,$AN10)+SUMIFS('3. 일출(자체)'!$AJ$7:$AJ$1845,'3. 일출(자체)'!$AM$7:$AM$1845,$AN10),IF($AO10="지방채",SUMIFS('3. 일출(의존)'!$AJ$7:$AJ$1837,'3. 일출(의존)'!$AS$7:$AS$1837,$AN10)+SUMIFS('3. 일출(자체)'!$AI$7:$AI$1845,'3. 일출(자체)'!$AM$7:$AM$1845,$AN10),0)))</f>
        <v/>
      </c>
      <c r="BD10" s="339" t="str">
        <f>IF($AN10="","",COUNTIF('3. 일출(의존)'!$AS$7:$AS$1837,$AN10)+COUNTIF('3. 일출(자체)'!$AM$7:$AM$1845,$AN10))</f>
        <v/>
      </c>
      <c r="BE10" s="336" t="str">
        <f t="shared" si="20"/>
        <v/>
      </c>
    </row>
    <row r="11" spans="1:57" s="19" customFormat="1" ht="80.099999999999994" customHeight="1">
      <c r="A11" s="126">
        <f>IF(D11="","",COUNTA($C$8:C11)-COUNTBLANK($C$8:C11)+6)</f>
        <v>8</v>
      </c>
      <c r="B11" s="127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>농정해양위원회</v>
      </c>
      <c r="C11" s="127" t="str">
        <f>IF(D11="","",IF(OR(D11="교육지원과",D11="총무과",D11="인사과"),"직접입력",VLOOKUP(D11,구분표!$A$3:$C$258,3,)))</f>
        <v>축산동물복지국</v>
      </c>
      <c r="D11" s="187" t="s">
        <v>76</v>
      </c>
      <c r="E11" s="181" t="s">
        <v>1694</v>
      </c>
      <c r="F11" s="350">
        <v>645</v>
      </c>
      <c r="G11" s="350">
        <v>16</v>
      </c>
      <c r="H11" s="181" t="s">
        <v>2077</v>
      </c>
      <c r="I11" s="127" t="str">
        <f>IF(H11="","",VLOOKUP($H11,구분표!$O$3:$P$168,2,FALSE))</f>
        <v>모집공채</v>
      </c>
      <c r="J11" s="183" t="s">
        <v>2079</v>
      </c>
      <c r="K11" s="419">
        <v>0</v>
      </c>
      <c r="L11" s="419">
        <v>96000</v>
      </c>
      <c r="M11" s="421">
        <f t="shared" si="2"/>
        <v>96000</v>
      </c>
      <c r="N11" s="420">
        <v>20000</v>
      </c>
      <c r="O11" s="421">
        <f t="shared" si="3"/>
        <v>116000</v>
      </c>
      <c r="P11" s="422"/>
      <c r="Q11" s="423">
        <f t="shared" si="4"/>
        <v>96000</v>
      </c>
      <c r="R11" s="133" t="str">
        <f t="shared" si="5"/>
        <v>X</v>
      </c>
      <c r="S11" s="184" t="s">
        <v>2084</v>
      </c>
      <c r="T11" s="292"/>
      <c r="U11" s="185"/>
      <c r="V11" s="172"/>
      <c r="W11" s="185"/>
      <c r="X11" s="185"/>
      <c r="Y11" s="133" t="str">
        <f t="shared" si="6"/>
        <v>도비</v>
      </c>
      <c r="Z11" s="44"/>
      <c r="AA11" s="431" t="str">
        <f t="shared" si="7"/>
        <v/>
      </c>
      <c r="AB11" s="431" t="str">
        <f t="shared" si="8"/>
        <v/>
      </c>
      <c r="AC11" s="431">
        <f t="shared" si="9"/>
        <v>20000</v>
      </c>
      <c r="AD11" s="431" t="str">
        <f t="shared" si="10"/>
        <v/>
      </c>
      <c r="AE11" s="45"/>
      <c r="AF11" s="431" t="str">
        <f t="shared" si="11"/>
        <v/>
      </c>
      <c r="AG11" s="431" t="str">
        <f t="shared" si="12"/>
        <v/>
      </c>
      <c r="AH11" s="431">
        <f t="shared" si="13"/>
        <v>0</v>
      </c>
      <c r="AI11" s="431" t="str">
        <f t="shared" si="14"/>
        <v/>
      </c>
      <c r="AJ11" s="86"/>
      <c r="AK11" s="336" t="str">
        <f>IF($AQ11="","", IF(OR($AL11="", $AL11="도비"), "", CONCATENATE($AQ11,"-",COUNTIF($AQ$8:$AQ11,$AQ11))))</f>
        <v/>
      </c>
      <c r="AL11" s="336" t="str">
        <f t="shared" si="15"/>
        <v>도비</v>
      </c>
      <c r="AM11" s="86"/>
      <c r="AN11" s="337" t="str">
        <f>IF($AQ11="","", IF(OR($AO11="", $AO11="국비", $AO11="자체"), "", CONCATENATE($AQ11,"-", $AO11,"-",COUNTIF($AQ$8:$AQ11, $AQ11))))</f>
        <v>20701-지방채-2</v>
      </c>
      <c r="AO11" s="337" t="str">
        <f t="shared" si="16"/>
        <v>지방채</v>
      </c>
      <c r="AP11" s="86"/>
      <c r="AQ11" s="336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>20701</v>
      </c>
      <c r="AR11" s="86"/>
      <c r="AS11" s="432" t="str">
        <f>IF($AK11="","", SUMIFS('3. 일출(의존)'!$AB$7:$AB$1826,'3. 일출(의존)'!$AN$7:$AN$1826,$AK11))</f>
        <v/>
      </c>
      <c r="AT11" s="339" t="str">
        <f>IF($AK11="","", COUNTIF('3. 일출(의존)'!$AN$7:$AN$1826,$AK11))</f>
        <v/>
      </c>
      <c r="AU11" s="336" t="str">
        <f t="shared" si="17"/>
        <v/>
      </c>
      <c r="AV11" s="432">
        <f>IF($AN11="","",IF($AO11="지역개발기금",SUMIFS('3. 일출(의존)'!$AE$7:$AE$1837,'3. 일출(의존)'!$AS$7:$AS$1837,$AN11)+SUMIFS('3. 일출(자체)'!$AE$7:$AE$1845,'3. 일출(자체)'!$AM$7:$AM$1845,$AN11),IF($AO11="지방채",SUMIFS('3. 일출(의존)'!$AD$7:$AD$1837,'3. 일출(의존)'!$AS$7:$AS$1837,$AN11)+SUMIFS('3. 일출(자체)'!$AD$7:$AD$1845,'3. 일출(자체)'!$AM$7:$AM$1845,$AN11),0)))</f>
        <v>20000</v>
      </c>
      <c r="AW11" s="339">
        <f>IF($AN11="","", COUNTIF('3. 일출(의존)'!$AS$7:$AS$1837,$AN11)+COUNTIF('3. 일출(자체)'!$AM$7:$AM$1845,$AN11))</f>
        <v>1</v>
      </c>
      <c r="AX11" s="336" t="str">
        <f t="shared" si="18"/>
        <v>OK</v>
      </c>
      <c r="AY11" s="87"/>
      <c r="AZ11" s="432" t="str">
        <f>IF($AK11="","", SUMIFS('3. 일출(의존)'!$AH$7:$AH$1826,'3. 일출(의존)'!$AN$7:$AN$1826,$AK11))</f>
        <v/>
      </c>
      <c r="BA11" s="339" t="str">
        <f>IF($AK11="","", COUNTIF('3. 일출(의존)'!$AN$7:$AN$1826,$AK11))</f>
        <v/>
      </c>
      <c r="BB11" s="336" t="str">
        <f t="shared" si="19"/>
        <v/>
      </c>
      <c r="BC11" s="432">
        <f>IF($AN11="","",IF($AO11="지역개발기금",SUMIFS('3. 일출(의존)'!$AK$7:$AK$1837,'3. 일출(의존)'!$AS$7:$AS$1837,$AN11)+SUMIFS('3. 일출(자체)'!$AJ$7:$AJ$1845,'3. 일출(자체)'!$AM$7:$AM$1845,$AN11),IF($AO11="지방채",SUMIFS('3. 일출(의존)'!$AJ$7:$AJ$1837,'3. 일출(의존)'!$AS$7:$AS$1837,$AN11)+SUMIFS('3. 일출(자체)'!$AI$7:$AI$1845,'3. 일출(자체)'!$AM$7:$AM$1845,$AN11),0)))</f>
        <v>0</v>
      </c>
      <c r="BD11" s="339">
        <f>IF($AN11="","",COUNTIF('3. 일출(의존)'!$AS$7:$AS$1837,$AN11)+COUNTIF('3. 일출(자체)'!$AM$7:$AM$1845,$AN11))</f>
        <v>1</v>
      </c>
      <c r="BE11" s="336" t="str">
        <f t="shared" si="20"/>
        <v>OK</v>
      </c>
    </row>
    <row r="12" spans="1:57" s="19" customFormat="1" ht="80.099999999999994" customHeight="1">
      <c r="A12" s="126">
        <f>IF(D12="","",COUNTA($C$8:C12)-COUNTBLANK($C$8:C12)+6)</f>
        <v>9</v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>농정해양위원회</v>
      </c>
      <c r="C12" s="127" t="str">
        <f>IF(D12="","",IF(OR(D12="교육지원과",D12="총무과",D12="인사과"),"직접입력",VLOOKUP(D12,구분표!$A$3:$C$258,3,)))</f>
        <v>축산동물복지국</v>
      </c>
      <c r="D12" s="187" t="s">
        <v>77</v>
      </c>
      <c r="E12" s="181" t="s">
        <v>1694</v>
      </c>
      <c r="F12" s="350">
        <v>647</v>
      </c>
      <c r="G12" s="350">
        <v>25</v>
      </c>
      <c r="H12" s="181" t="s">
        <v>2042</v>
      </c>
      <c r="I12" s="127" t="str">
        <f>IF(H12="","",VLOOKUP($H12,구분표!$O$3:$P$168,2,FALSE))</f>
        <v>국고보조금</v>
      </c>
      <c r="J12" s="183" t="s">
        <v>2080</v>
      </c>
      <c r="K12" s="419">
        <v>5554496</v>
      </c>
      <c r="L12" s="419">
        <v>1664900</v>
      </c>
      <c r="M12" s="421">
        <f t="shared" si="2"/>
        <v>7219396</v>
      </c>
      <c r="N12" s="420">
        <v>-160030</v>
      </c>
      <c r="O12" s="421">
        <f t="shared" si="3"/>
        <v>7059366</v>
      </c>
      <c r="P12" s="422"/>
      <c r="Q12" s="423">
        <f t="shared" si="4"/>
        <v>7219396</v>
      </c>
      <c r="R12" s="133" t="str">
        <f t="shared" si="5"/>
        <v>O</v>
      </c>
      <c r="S12" s="184" t="s">
        <v>2085</v>
      </c>
      <c r="T12" s="292"/>
      <c r="U12" s="185"/>
      <c r="V12" s="172"/>
      <c r="W12" s="185"/>
      <c r="X12" s="185"/>
      <c r="Y12" s="133" t="str">
        <f t="shared" si="6"/>
        <v>국비</v>
      </c>
      <c r="Z12" s="44"/>
      <c r="AA12" s="431">
        <f t="shared" si="7"/>
        <v>-160030</v>
      </c>
      <c r="AB12" s="431" t="str">
        <f t="shared" si="8"/>
        <v/>
      </c>
      <c r="AC12" s="431" t="str">
        <f t="shared" si="9"/>
        <v/>
      </c>
      <c r="AD12" s="431" t="str">
        <f t="shared" si="10"/>
        <v/>
      </c>
      <c r="AE12" s="45"/>
      <c r="AF12" s="431">
        <f t="shared" si="11"/>
        <v>0</v>
      </c>
      <c r="AG12" s="431" t="str">
        <f t="shared" si="12"/>
        <v/>
      </c>
      <c r="AH12" s="431" t="str">
        <f t="shared" si="13"/>
        <v/>
      </c>
      <c r="AI12" s="431" t="str">
        <f t="shared" si="14"/>
        <v/>
      </c>
      <c r="AJ12" s="86"/>
      <c r="AK12" s="336" t="str">
        <f>IF($AQ12="","", IF(OR($AL12="", $AL12="도비"), "", CONCATENATE($AQ12,"-",COUNTIF($AQ$8:$AQ12,$AQ12))))</f>
        <v>20702-1</v>
      </c>
      <c r="AL12" s="336" t="str">
        <f t="shared" si="15"/>
        <v>국비</v>
      </c>
      <c r="AM12" s="86"/>
      <c r="AN12" s="337" t="str">
        <f>IF($AQ12="","", IF(OR($AO12="", $AO12="국비", $AO12="자체"), "", CONCATENATE($AQ12,"-", $AO12,"-",COUNTIF($AQ$8:$AQ12, $AQ12))))</f>
        <v/>
      </c>
      <c r="AO12" s="337" t="str">
        <f t="shared" si="16"/>
        <v>국비</v>
      </c>
      <c r="AP12" s="86"/>
      <c r="AQ12" s="336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>20702</v>
      </c>
      <c r="AR12" s="86"/>
      <c r="AS12" s="432">
        <f>IF($AK12="","", SUMIFS('3. 일출(의존)'!$AB$7:$AB$1826,'3. 일출(의존)'!$AN$7:$AN$1826,$AK12))</f>
        <v>-160030</v>
      </c>
      <c r="AT12" s="339">
        <f>IF($AK12="","", COUNTIF('3. 일출(의존)'!$AN$7:$AN$1826,$AK12))</f>
        <v>3</v>
      </c>
      <c r="AU12" s="336" t="str">
        <f t="shared" si="17"/>
        <v>OK</v>
      </c>
      <c r="AV12" s="432" t="str">
        <f>IF($AN12="","",IF($AO12="지역개발기금",SUMIFS('3. 일출(의존)'!$AE$7:$AE$1837,'3. 일출(의존)'!$AS$7:$AS$1837,$AN12)+SUMIFS('3. 일출(자체)'!$AE$7:$AE$1845,'3. 일출(자체)'!$AM$7:$AM$1845,$AN12),IF($AO12="지방채",SUMIFS('3. 일출(의존)'!$AD$7:$AD$1837,'3. 일출(의존)'!$AS$7:$AS$1837,$AN12)+SUMIFS('3. 일출(자체)'!$AD$7:$AD$1845,'3. 일출(자체)'!$AM$7:$AM$1845,$AN12),0)))</f>
        <v/>
      </c>
      <c r="AW12" s="339" t="str">
        <f>IF($AN12="","", COUNTIF('3. 일출(의존)'!$AS$7:$AS$1837,$AN12)+COUNTIF('3. 일출(자체)'!$AM$7:$AM$1845,$AN12))</f>
        <v/>
      </c>
      <c r="AX12" s="336" t="str">
        <f t="shared" si="18"/>
        <v/>
      </c>
      <c r="AY12" s="87"/>
      <c r="AZ12" s="432">
        <f>IF($AK12="","", SUMIFS('3. 일출(의존)'!$AH$7:$AH$1826,'3. 일출(의존)'!$AN$7:$AN$1826,$AK12))</f>
        <v>0</v>
      </c>
      <c r="BA12" s="339">
        <f>IF($AK12="","", COUNTIF('3. 일출(의존)'!$AN$7:$AN$1826,$AK12))</f>
        <v>3</v>
      </c>
      <c r="BB12" s="336" t="str">
        <f t="shared" si="19"/>
        <v>OK</v>
      </c>
      <c r="BC12" s="432" t="str">
        <f>IF($AN12="","",IF($AO12="지역개발기금",SUMIFS('3. 일출(의존)'!$AK$7:$AK$1837,'3. 일출(의존)'!$AS$7:$AS$1837,$AN12)+SUMIFS('3. 일출(자체)'!$AJ$7:$AJ$1845,'3. 일출(자체)'!$AM$7:$AM$1845,$AN12),IF($AO12="지방채",SUMIFS('3. 일출(의존)'!$AJ$7:$AJ$1837,'3. 일출(의존)'!$AS$7:$AS$1837,$AN12)+SUMIFS('3. 일출(자체)'!$AI$7:$AI$1845,'3. 일출(자체)'!$AM$7:$AM$1845,$AN12),0)))</f>
        <v/>
      </c>
      <c r="BD12" s="339" t="str">
        <f>IF($AN12="","",COUNTIF('3. 일출(의존)'!$AS$7:$AS$1837,$AN12)+COUNTIF('3. 일출(자체)'!$AM$7:$AM$1845,$AN12))</f>
        <v/>
      </c>
      <c r="BE12" s="336" t="str">
        <f t="shared" si="20"/>
        <v/>
      </c>
    </row>
    <row r="13" spans="1:57" s="19" customFormat="1" ht="80.099999999999994" customHeight="1">
      <c r="A13" s="126">
        <f>IF(D13="","",COUNTA($C$8:C13)-COUNTBLANK($C$8:C13)+6)</f>
        <v>10</v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>농정해양위원회</v>
      </c>
      <c r="C13" s="127" t="str">
        <f>IF(D13="","",IF(OR(D13="교육지원과",D13="총무과",D13="인사과"),"직접입력",VLOOKUP(D13,구분표!$A$3:$C$258,3,)))</f>
        <v>축산동물복지국</v>
      </c>
      <c r="D13" s="187" t="s">
        <v>77</v>
      </c>
      <c r="E13" s="181" t="s">
        <v>1696</v>
      </c>
      <c r="F13" s="350" t="str">
        <f t="shared" ref="F13:G13" si="21">IF($E13="","",IF($E13="2추","직접입력","-"))</f>
        <v>-</v>
      </c>
      <c r="G13" s="350" t="str">
        <f t="shared" si="21"/>
        <v>-</v>
      </c>
      <c r="H13" s="181" t="s">
        <v>2042</v>
      </c>
      <c r="I13" s="127" t="str">
        <f>IF(H13="","",VLOOKUP($H13,구분표!$O$3:$P$168,2,FALSE))</f>
        <v>국고보조금</v>
      </c>
      <c r="J13" s="183" t="s">
        <v>2081</v>
      </c>
      <c r="K13" s="419">
        <v>15000000</v>
      </c>
      <c r="L13" s="419" t="s">
        <v>2041</v>
      </c>
      <c r="M13" s="421">
        <f t="shared" si="2"/>
        <v>15000000</v>
      </c>
      <c r="N13" s="420">
        <v>2476200</v>
      </c>
      <c r="O13" s="421">
        <f t="shared" si="3"/>
        <v>17476200</v>
      </c>
      <c r="P13" s="422"/>
      <c r="Q13" s="423">
        <f t="shared" si="4"/>
        <v>15000000</v>
      </c>
      <c r="R13" s="133" t="str">
        <f t="shared" si="5"/>
        <v>X</v>
      </c>
      <c r="S13" s="184" t="s">
        <v>2086</v>
      </c>
      <c r="T13" s="292"/>
      <c r="U13" s="185"/>
      <c r="V13" s="172"/>
      <c r="W13" s="185"/>
      <c r="X13" s="185"/>
      <c r="Y13" s="133" t="str">
        <f t="shared" si="6"/>
        <v>국비</v>
      </c>
      <c r="Z13" s="44"/>
      <c r="AA13" s="431">
        <f t="shared" si="7"/>
        <v>2476200</v>
      </c>
      <c r="AB13" s="431" t="str">
        <f t="shared" si="8"/>
        <v/>
      </c>
      <c r="AC13" s="431" t="str">
        <f t="shared" si="9"/>
        <v/>
      </c>
      <c r="AD13" s="431" t="str">
        <f t="shared" si="10"/>
        <v/>
      </c>
      <c r="AE13" s="45"/>
      <c r="AF13" s="431">
        <f t="shared" si="11"/>
        <v>0</v>
      </c>
      <c r="AG13" s="431" t="str">
        <f t="shared" si="12"/>
        <v/>
      </c>
      <c r="AH13" s="431" t="str">
        <f t="shared" si="13"/>
        <v/>
      </c>
      <c r="AI13" s="431" t="str">
        <f t="shared" si="14"/>
        <v/>
      </c>
      <c r="AJ13" s="86"/>
      <c r="AK13" s="336" t="str">
        <f>IF($AQ13="","", IF(OR($AL13="", $AL13="도비"), "", CONCATENATE($AQ13,"-",COUNTIF($AQ$8:$AQ13,$AQ13))))</f>
        <v>20702-2</v>
      </c>
      <c r="AL13" s="336" t="str">
        <f t="shared" si="15"/>
        <v>국비</v>
      </c>
      <c r="AM13" s="86"/>
      <c r="AN13" s="337" t="str">
        <f>IF($AQ13="","", IF(OR($AO13="", $AO13="국비", $AO13="자체"), "", CONCATENATE($AQ13,"-", $AO13,"-",COUNTIF($AQ$8:$AQ13, $AQ13))))</f>
        <v/>
      </c>
      <c r="AO13" s="337" t="str">
        <f t="shared" si="16"/>
        <v>국비</v>
      </c>
      <c r="AP13" s="86"/>
      <c r="AQ13" s="336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>20702</v>
      </c>
      <c r="AR13" s="86"/>
      <c r="AS13" s="432">
        <f>IF($AK13="","", SUMIFS('3. 일출(의존)'!$AB$7:$AB$1826,'3. 일출(의존)'!$AN$7:$AN$1826,$AK13))</f>
        <v>2476200</v>
      </c>
      <c r="AT13" s="339">
        <f>IF($AK13="","", COUNTIF('3. 일출(의존)'!$AN$7:$AN$1826,$AK13))</f>
        <v>1</v>
      </c>
      <c r="AU13" s="336" t="str">
        <f t="shared" si="17"/>
        <v>OK</v>
      </c>
      <c r="AV13" s="432" t="str">
        <f>IF($AN13="","",IF($AO13="지역개발기금",SUMIFS('3. 일출(의존)'!$AE$7:$AE$1837,'3. 일출(의존)'!$AS$7:$AS$1837,$AN13)+SUMIFS('3. 일출(자체)'!$AE$7:$AE$1845,'3. 일출(자체)'!$AM$7:$AM$1845,$AN13),IF($AO13="지방채",SUMIFS('3. 일출(의존)'!$AD$7:$AD$1837,'3. 일출(의존)'!$AS$7:$AS$1837,$AN13)+SUMIFS('3. 일출(자체)'!$AD$7:$AD$1845,'3. 일출(자체)'!$AM$7:$AM$1845,$AN13),0)))</f>
        <v/>
      </c>
      <c r="AW13" s="339" t="str">
        <f>IF($AN13="","", COUNTIF('3. 일출(의존)'!$AS$7:$AS$1837,$AN13)+COUNTIF('3. 일출(자체)'!$AM$7:$AM$1845,$AN13))</f>
        <v/>
      </c>
      <c r="AX13" s="336" t="str">
        <f t="shared" si="18"/>
        <v/>
      </c>
      <c r="AY13" s="87"/>
      <c r="AZ13" s="432">
        <f>IF($AK13="","", SUMIFS('3. 일출(의존)'!$AH$7:$AH$1826,'3. 일출(의존)'!$AN$7:$AN$1826,$AK13))</f>
        <v>0</v>
      </c>
      <c r="BA13" s="339">
        <f>IF($AK13="","", COUNTIF('3. 일출(의존)'!$AN$7:$AN$1826,$AK13))</f>
        <v>1</v>
      </c>
      <c r="BB13" s="336" t="str">
        <f t="shared" si="19"/>
        <v>OK</v>
      </c>
      <c r="BC13" s="432" t="str">
        <f>IF($AN13="","",IF($AO13="지역개발기금",SUMIFS('3. 일출(의존)'!$AK$7:$AK$1837,'3. 일출(의존)'!$AS$7:$AS$1837,$AN13)+SUMIFS('3. 일출(자체)'!$AJ$7:$AJ$1845,'3. 일출(자체)'!$AM$7:$AM$1845,$AN13),IF($AO13="지방채",SUMIFS('3. 일출(의존)'!$AJ$7:$AJ$1837,'3. 일출(의존)'!$AS$7:$AS$1837,$AN13)+SUMIFS('3. 일출(자체)'!$AI$7:$AI$1845,'3. 일출(자체)'!$AM$7:$AM$1845,$AN13),0)))</f>
        <v/>
      </c>
      <c r="BD13" s="339" t="str">
        <f>IF($AN13="","",COUNTIF('3. 일출(의존)'!$AS$7:$AS$1837,$AN13)+COUNTIF('3. 일출(자체)'!$AM$7:$AM$1845,$AN13))</f>
        <v/>
      </c>
      <c r="BE13" s="336" t="str">
        <f t="shared" si="20"/>
        <v/>
      </c>
    </row>
    <row r="14" spans="1:57" s="19" customFormat="1" ht="80.099999999999994" customHeight="1">
      <c r="A14" s="126">
        <f>IF(D14="","",COUNTA($C$8:C14)-COUNTBLANK($C$8:C14)+6)</f>
        <v>11</v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>농정해양위원회</v>
      </c>
      <c r="C14" s="127" t="str">
        <f>IF(D14="","",IF(OR(D14="교육지원과",D14="총무과",D14="인사과"),"직접입력",VLOOKUP(D14,구분표!$A$3:$C$258,3,)))</f>
        <v>축산동물복지국</v>
      </c>
      <c r="D14" s="187" t="s">
        <v>77</v>
      </c>
      <c r="E14" s="181" t="s">
        <v>1694</v>
      </c>
      <c r="F14" s="350">
        <v>647</v>
      </c>
      <c r="G14" s="350">
        <v>25</v>
      </c>
      <c r="H14" s="181" t="s">
        <v>2042</v>
      </c>
      <c r="I14" s="127" t="str">
        <f>IF(H14="","",VLOOKUP($H14,구분표!$O$3:$P$168,2,FALSE))</f>
        <v>국고보조금</v>
      </c>
      <c r="J14" s="183" t="s">
        <v>2082</v>
      </c>
      <c r="K14" s="419">
        <v>12046292</v>
      </c>
      <c r="L14" s="419">
        <v>178731</v>
      </c>
      <c r="M14" s="421">
        <f t="shared" si="2"/>
        <v>12225023</v>
      </c>
      <c r="N14" s="420">
        <v>-49089</v>
      </c>
      <c r="O14" s="421">
        <f t="shared" si="3"/>
        <v>12175934</v>
      </c>
      <c r="P14" s="422"/>
      <c r="Q14" s="423">
        <f t="shared" si="4"/>
        <v>12225023</v>
      </c>
      <c r="R14" s="133" t="str">
        <f t="shared" si="5"/>
        <v>O</v>
      </c>
      <c r="S14" s="184" t="s">
        <v>2087</v>
      </c>
      <c r="T14" s="292"/>
      <c r="U14" s="185"/>
      <c r="V14" s="172"/>
      <c r="W14" s="185"/>
      <c r="X14" s="185"/>
      <c r="Y14" s="133" t="str">
        <f t="shared" si="6"/>
        <v>국비</v>
      </c>
      <c r="Z14" s="44"/>
      <c r="AA14" s="431">
        <f t="shared" si="7"/>
        <v>-49089</v>
      </c>
      <c r="AB14" s="431" t="str">
        <f t="shared" si="8"/>
        <v/>
      </c>
      <c r="AC14" s="431" t="str">
        <f t="shared" si="9"/>
        <v/>
      </c>
      <c r="AD14" s="431" t="str">
        <f t="shared" si="10"/>
        <v/>
      </c>
      <c r="AE14" s="45"/>
      <c r="AF14" s="431">
        <f t="shared" si="11"/>
        <v>0</v>
      </c>
      <c r="AG14" s="431" t="str">
        <f t="shared" si="12"/>
        <v/>
      </c>
      <c r="AH14" s="431" t="str">
        <f t="shared" si="13"/>
        <v/>
      </c>
      <c r="AI14" s="431" t="str">
        <f t="shared" si="14"/>
        <v/>
      </c>
      <c r="AJ14" s="86"/>
      <c r="AK14" s="336" t="str">
        <f>IF($AQ14="","", IF(OR($AL14="", $AL14="도비"), "", CONCATENATE($AQ14,"-",COUNTIF($AQ$8:$AQ14,$AQ14))))</f>
        <v>20702-3</v>
      </c>
      <c r="AL14" s="336" t="str">
        <f t="shared" si="15"/>
        <v>국비</v>
      </c>
      <c r="AM14" s="86"/>
      <c r="AN14" s="337" t="str">
        <f>IF($AQ14="","", IF(OR($AO14="", $AO14="국비", $AO14="자체"), "", CONCATENATE($AQ14,"-", $AO14,"-",COUNTIF($AQ$8:$AQ14, $AQ14))))</f>
        <v/>
      </c>
      <c r="AO14" s="337" t="str">
        <f t="shared" si="16"/>
        <v>국비</v>
      </c>
      <c r="AP14" s="86"/>
      <c r="AQ14" s="336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>20702</v>
      </c>
      <c r="AR14" s="86"/>
      <c r="AS14" s="432">
        <f>IF($AK14="","", SUMIFS('3. 일출(의존)'!$AB$7:$AB$1826,'3. 일출(의존)'!$AN$7:$AN$1826,$AK14))</f>
        <v>-49089</v>
      </c>
      <c r="AT14" s="339">
        <f>IF($AK14="","", COUNTIF('3. 일출(의존)'!$AN$7:$AN$1826,$AK14))</f>
        <v>2</v>
      </c>
      <c r="AU14" s="336" t="str">
        <f t="shared" si="17"/>
        <v>OK</v>
      </c>
      <c r="AV14" s="432" t="str">
        <f>IF($AN14="","",IF($AO14="지역개발기금",SUMIFS('3. 일출(의존)'!$AE$7:$AE$1837,'3. 일출(의존)'!$AS$7:$AS$1837,$AN14)+SUMIFS('3. 일출(자체)'!$AE$7:$AE$1845,'3. 일출(자체)'!$AM$7:$AM$1845,$AN14),IF($AO14="지방채",SUMIFS('3. 일출(의존)'!$AD$7:$AD$1837,'3. 일출(의존)'!$AS$7:$AS$1837,$AN14)+SUMIFS('3. 일출(자체)'!$AD$7:$AD$1845,'3. 일출(자체)'!$AM$7:$AM$1845,$AN14),0)))</f>
        <v/>
      </c>
      <c r="AW14" s="339" t="str">
        <f>IF($AN14="","", COUNTIF('3. 일출(의존)'!$AS$7:$AS$1837,$AN14)+COUNTIF('3. 일출(자체)'!$AM$7:$AM$1845,$AN14))</f>
        <v/>
      </c>
      <c r="AX14" s="336" t="str">
        <f t="shared" si="18"/>
        <v/>
      </c>
      <c r="AY14" s="87"/>
      <c r="AZ14" s="432">
        <f>IF($AK14="","", SUMIFS('3. 일출(의존)'!$AH$7:$AH$1826,'3. 일출(의존)'!$AN$7:$AN$1826,$AK14))</f>
        <v>0</v>
      </c>
      <c r="BA14" s="339">
        <f>IF($AK14="","", COUNTIF('3. 일출(의존)'!$AN$7:$AN$1826,$AK14))</f>
        <v>2</v>
      </c>
      <c r="BB14" s="336" t="str">
        <f t="shared" si="19"/>
        <v>OK</v>
      </c>
      <c r="BC14" s="432" t="str">
        <f>IF($AN14="","",IF($AO14="지역개발기금",SUMIFS('3. 일출(의존)'!$AK$7:$AK$1837,'3. 일출(의존)'!$AS$7:$AS$1837,$AN14)+SUMIFS('3. 일출(자체)'!$AJ$7:$AJ$1845,'3. 일출(자체)'!$AM$7:$AM$1845,$AN14),IF($AO14="지방채",SUMIFS('3. 일출(의존)'!$AJ$7:$AJ$1837,'3. 일출(의존)'!$AS$7:$AS$1837,$AN14)+SUMIFS('3. 일출(자체)'!$AI$7:$AI$1845,'3. 일출(자체)'!$AM$7:$AM$1845,$AN14),0)))</f>
        <v/>
      </c>
      <c r="BD14" s="339" t="str">
        <f>IF($AN14="","",COUNTIF('3. 일출(의존)'!$AS$7:$AS$1837,$AN14)+COUNTIF('3. 일출(자체)'!$AM$7:$AM$1845,$AN14))</f>
        <v/>
      </c>
      <c r="BE14" s="336" t="str">
        <f t="shared" si="20"/>
        <v/>
      </c>
    </row>
    <row r="15" spans="1:57" s="19" customFormat="1" ht="80.099999999999994" customHeight="1">
      <c r="A15" s="126">
        <f>IF(D15="","",COUNTA($C$8:C15)-COUNTBLANK($C$8:C15)+6)</f>
        <v>12</v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>농정해양위원회</v>
      </c>
      <c r="C15" s="127" t="str">
        <f>IF(D15="","",IF(OR(D15="교육지원과",D15="총무과",D15="인사과"),"직접입력",VLOOKUP(D15,구분표!$A$3:$C$258,3,)))</f>
        <v>축산동물복지국</v>
      </c>
      <c r="D15" s="187" t="s">
        <v>77</v>
      </c>
      <c r="E15" s="181" t="s">
        <v>1694</v>
      </c>
      <c r="F15" s="350">
        <v>647</v>
      </c>
      <c r="G15" s="350">
        <v>28</v>
      </c>
      <c r="H15" s="181" t="s">
        <v>2077</v>
      </c>
      <c r="I15" s="127" t="str">
        <f>IF(H15="","",VLOOKUP($H15,구분표!$O$3:$P$168,2,FALSE))</f>
        <v>모집공채</v>
      </c>
      <c r="J15" s="183" t="s">
        <v>2083</v>
      </c>
      <c r="K15" s="419">
        <v>0</v>
      </c>
      <c r="L15" s="419">
        <v>93656</v>
      </c>
      <c r="M15" s="421">
        <f t="shared" si="2"/>
        <v>93656</v>
      </c>
      <c r="N15" s="420">
        <v>-15750</v>
      </c>
      <c r="O15" s="421">
        <f t="shared" si="3"/>
        <v>77906</v>
      </c>
      <c r="P15" s="422"/>
      <c r="Q15" s="423">
        <f t="shared" si="4"/>
        <v>93656</v>
      </c>
      <c r="R15" s="133" t="str">
        <f t="shared" si="5"/>
        <v>O</v>
      </c>
      <c r="S15" s="184"/>
      <c r="T15" s="292"/>
      <c r="U15" s="185"/>
      <c r="V15" s="172"/>
      <c r="W15" s="185"/>
      <c r="X15" s="185"/>
      <c r="Y15" s="133" t="str">
        <f t="shared" si="6"/>
        <v>도비</v>
      </c>
      <c r="Z15" s="44"/>
      <c r="AA15" s="431" t="str">
        <f t="shared" si="7"/>
        <v/>
      </c>
      <c r="AB15" s="431" t="str">
        <f t="shared" si="8"/>
        <v/>
      </c>
      <c r="AC15" s="431">
        <f t="shared" si="9"/>
        <v>-15750</v>
      </c>
      <c r="AD15" s="431" t="str">
        <f t="shared" si="10"/>
        <v/>
      </c>
      <c r="AE15" s="45"/>
      <c r="AF15" s="431" t="str">
        <f t="shared" si="11"/>
        <v/>
      </c>
      <c r="AG15" s="431" t="str">
        <f t="shared" si="12"/>
        <v/>
      </c>
      <c r="AH15" s="431">
        <f t="shared" si="13"/>
        <v>0</v>
      </c>
      <c r="AI15" s="431" t="str">
        <f t="shared" si="14"/>
        <v/>
      </c>
      <c r="AJ15" s="86"/>
      <c r="AK15" s="336" t="str">
        <f>IF($AQ15="","", IF(OR($AL15="", $AL15="도비"), "", CONCATENATE($AQ15,"-",COUNTIF($AQ$8:$AQ15,$AQ15))))</f>
        <v/>
      </c>
      <c r="AL15" s="336" t="str">
        <f t="shared" si="15"/>
        <v>도비</v>
      </c>
      <c r="AM15" s="86"/>
      <c r="AN15" s="337" t="str">
        <f>IF($AQ15="","", IF(OR($AO15="", $AO15="국비", $AO15="자체"), "", CONCATENATE($AQ15,"-", $AO15,"-",COUNTIF($AQ$8:$AQ15, $AQ15))))</f>
        <v>20702-지방채-4</v>
      </c>
      <c r="AO15" s="337" t="str">
        <f t="shared" si="16"/>
        <v>지방채</v>
      </c>
      <c r="AP15" s="86"/>
      <c r="AQ15" s="336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>20702</v>
      </c>
      <c r="AR15" s="86"/>
      <c r="AS15" s="432" t="str">
        <f>IF($AK15="","", SUMIFS('3. 일출(의존)'!$AB$7:$AB$1826,'3. 일출(의존)'!$AN$7:$AN$1826,$AK15))</f>
        <v/>
      </c>
      <c r="AT15" s="339" t="str">
        <f>IF($AK15="","", COUNTIF('3. 일출(의존)'!$AN$7:$AN$1826,$AK15))</f>
        <v/>
      </c>
      <c r="AU15" s="336" t="str">
        <f t="shared" si="17"/>
        <v/>
      </c>
      <c r="AV15" s="432">
        <f>IF($AN15="","",IF($AO15="지역개발기금",SUMIFS('3. 일출(의존)'!$AE$7:$AE$1837,'3. 일출(의존)'!$AS$7:$AS$1837,$AN15)+SUMIFS('3. 일출(자체)'!$AE$7:$AE$1845,'3. 일출(자체)'!$AM$7:$AM$1845,$AN15),IF($AO15="지방채",SUMIFS('3. 일출(의존)'!$AD$7:$AD$1837,'3. 일출(의존)'!$AS$7:$AS$1837,$AN15)+SUMIFS('3. 일출(자체)'!$AD$7:$AD$1845,'3. 일출(자체)'!$AM$7:$AM$1845,$AN15),0)))</f>
        <v>-15750</v>
      </c>
      <c r="AW15" s="339">
        <f>IF($AN15="","", COUNTIF('3. 일출(의존)'!$AS$7:$AS$1837,$AN15)+COUNTIF('3. 일출(자체)'!$AM$7:$AM$1845,$AN15))</f>
        <v>1</v>
      </c>
      <c r="AX15" s="336" t="str">
        <f t="shared" si="18"/>
        <v>OK</v>
      </c>
      <c r="AY15" s="87"/>
      <c r="AZ15" s="432" t="str">
        <f>IF($AK15="","", SUMIFS('3. 일출(의존)'!$AH$7:$AH$1826,'3. 일출(의존)'!$AN$7:$AN$1826,$AK15))</f>
        <v/>
      </c>
      <c r="BA15" s="339" t="str">
        <f>IF($AK15="","", COUNTIF('3. 일출(의존)'!$AN$7:$AN$1826,$AK15))</f>
        <v/>
      </c>
      <c r="BB15" s="336" t="str">
        <f t="shared" si="19"/>
        <v/>
      </c>
      <c r="BC15" s="432">
        <f>IF($AN15="","",IF($AO15="지역개발기금",SUMIFS('3. 일출(의존)'!$AK$7:$AK$1837,'3. 일출(의존)'!$AS$7:$AS$1837,$AN15)+SUMIFS('3. 일출(자체)'!$AJ$7:$AJ$1845,'3. 일출(자체)'!$AM$7:$AM$1845,$AN15),IF($AO15="지방채",SUMIFS('3. 일출(의존)'!$AJ$7:$AJ$1837,'3. 일출(의존)'!$AS$7:$AS$1837,$AN15)+SUMIFS('3. 일출(자체)'!$AI$7:$AI$1845,'3. 일출(자체)'!$AM$7:$AM$1845,$AN15),0)))</f>
        <v>0</v>
      </c>
      <c r="BD15" s="339">
        <f>IF($AN15="","",COUNTIF('3. 일출(의존)'!$AS$7:$AS$1837,$AN15)+COUNTIF('3. 일출(자체)'!$AM$7:$AM$1845,$AN15))</f>
        <v>1</v>
      </c>
      <c r="BE15" s="336" t="str">
        <f t="shared" si="20"/>
        <v>OK</v>
      </c>
    </row>
  </sheetData>
  <sheetProtection formatCells="0" autoFilter="0"/>
  <autoFilter ref="A7:BE15" xr:uid="{9450E478-6A05-481F-827B-E8B62F91108D}"/>
  <mergeCells count="52">
    <mergeCell ref="AF1:AI1"/>
    <mergeCell ref="AA1:AD1"/>
    <mergeCell ref="AA5:AA6"/>
    <mergeCell ref="AF5:AF6"/>
    <mergeCell ref="AB5:AD5"/>
    <mergeCell ref="AA4:AD4"/>
    <mergeCell ref="AF4:AI4"/>
    <mergeCell ref="AG5:AI5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N4:N6"/>
    <mergeCell ref="P4:P6"/>
    <mergeCell ref="I4:I6"/>
    <mergeCell ref="H4:H6"/>
    <mergeCell ref="B8:G8"/>
    <mergeCell ref="K4:K6"/>
    <mergeCell ref="L4:L6"/>
    <mergeCell ref="C4:C6"/>
    <mergeCell ref="S4:S6"/>
    <mergeCell ref="T4:T6"/>
    <mergeCell ref="U4:U6"/>
    <mergeCell ref="X4:X6"/>
    <mergeCell ref="AS1:AX1"/>
    <mergeCell ref="AS4:AX4"/>
    <mergeCell ref="AO5:AO6"/>
    <mergeCell ref="AQ4:AQ6"/>
    <mergeCell ref="AN1:AO1"/>
    <mergeCell ref="AN4:AO4"/>
    <mergeCell ref="AV5:AX5"/>
    <mergeCell ref="AN5:AN6"/>
    <mergeCell ref="AK4:AL4"/>
    <mergeCell ref="AK5:AK6"/>
    <mergeCell ref="AL5:AL6"/>
    <mergeCell ref="AK1:AL1"/>
    <mergeCell ref="BC5:BE5"/>
    <mergeCell ref="AZ4:BE4"/>
    <mergeCell ref="AZ1:BE1"/>
    <mergeCell ref="AZ5:BB5"/>
    <mergeCell ref="AS5:AU5"/>
  </mergeCells>
  <phoneticPr fontId="1" type="noConversion"/>
  <conditionalFormatting sqref="M1:M7 M9:M1048576">
    <cfRule type="containsText" dxfId="912" priority="689" operator="containsText" text="금액입력">
      <formula>NOT(ISERROR(SEARCH("금액입력",M1)))</formula>
    </cfRule>
  </conditionalFormatting>
  <conditionalFormatting sqref="F1:G8 F16:G1048576">
    <cfRule type="containsText" dxfId="911" priority="688" operator="containsText" text="직접입력">
      <formula>NOT(ISERROR(SEARCH("직접입력",F1)))</formula>
    </cfRule>
  </conditionalFormatting>
  <conditionalFormatting sqref="J1:L3 J4:J7 J9 J16:L1048576">
    <cfRule type="containsText" dxfId="910" priority="687" operator="containsText" text="부기명 입력">
      <formula>NOT(ISERROR(SEARCH("부기명 입력",J1)))</formula>
    </cfRule>
  </conditionalFormatting>
  <conditionalFormatting sqref="AX1:AX7 BE1:BE7 AX9:AX1048576 BE9:BE1048576">
    <cfRule type="containsText" dxfId="909" priority="686" operator="containsText" text="@@">
      <formula>NOT(ISERROR(SEARCH("@@",AX1)))</formula>
    </cfRule>
  </conditionalFormatting>
  <conditionalFormatting sqref="K4:K6">
    <cfRule type="containsText" dxfId="908" priority="645" operator="containsText" text="금액입력">
      <formula>NOT(ISERROR(SEARCH("금액입력",K4)))</formula>
    </cfRule>
  </conditionalFormatting>
  <conditionalFormatting sqref="L4:L6">
    <cfRule type="containsText" dxfId="907" priority="644" operator="containsText" text="금액입력">
      <formula>NOT(ISERROR(SEARCH("금액입력",L4)))</formula>
    </cfRule>
  </conditionalFormatting>
  <conditionalFormatting sqref="K7:L7">
    <cfRule type="containsText" dxfId="906" priority="643" operator="containsText" text="금액입력">
      <formula>NOT(ISERROR(SEARCH("금액입력",K7)))</formula>
    </cfRule>
  </conditionalFormatting>
  <conditionalFormatting sqref="J8">
    <cfRule type="containsText" dxfId="905" priority="559" operator="containsText" text="부기명 입력">
      <formula>NOT(ISERROR(SEARCH("부기명 입력",J8)))</formula>
    </cfRule>
  </conditionalFormatting>
  <conditionalFormatting sqref="M8:Q8">
    <cfRule type="containsText" dxfId="904" priority="556" operator="containsText" text="금액입력">
      <formula>NOT(ISERROR(SEARCH("금액입력",M8)))</formula>
    </cfRule>
  </conditionalFormatting>
  <conditionalFormatting sqref="AU9:AU15">
    <cfRule type="containsText" dxfId="903" priority="475" operator="containsText" text="@@">
      <formula>NOT(ISERROR(SEARCH("@@",AU9)))</formula>
    </cfRule>
  </conditionalFormatting>
  <conditionalFormatting sqref="BB9:BB15">
    <cfRule type="containsText" dxfId="902" priority="473" operator="containsText" text="@@">
      <formula>NOT(ISERROR(SEARCH("@@",BB9)))</formula>
    </cfRule>
  </conditionalFormatting>
  <conditionalFormatting sqref="AU7">
    <cfRule type="containsText" dxfId="901" priority="408" operator="containsText" text="@@">
      <formula>NOT(ISERROR(SEARCH("@@",AU7)))</formula>
    </cfRule>
  </conditionalFormatting>
  <conditionalFormatting sqref="BB7">
    <cfRule type="containsText" dxfId="900" priority="407" operator="containsText" text="@@">
      <formula>NOT(ISERROR(SEARCH("@@",BB7)))</formula>
    </cfRule>
  </conditionalFormatting>
  <conditionalFormatting sqref="B9:C15">
    <cfRule type="containsText" dxfId="899" priority="245" operator="containsText" text="직접입력">
      <formula>NOT(ISERROR(SEARCH("직접입력",B9)))</formula>
    </cfRule>
  </conditionalFormatting>
  <conditionalFormatting sqref="K8:L8">
    <cfRule type="containsText" dxfId="898" priority="172" operator="containsText" text="금액입력">
      <formula>NOT(ISERROR(SEARCH("금액입력",K8)))</formula>
    </cfRule>
  </conditionalFormatting>
  <conditionalFormatting sqref="F9:G9">
    <cfRule type="containsText" dxfId="897" priority="41" operator="containsText" text="직접입력">
      <formula>NOT(ISERROR(SEARCH("직접입력",F9)))</formula>
    </cfRule>
  </conditionalFormatting>
  <conditionalFormatting sqref="K9">
    <cfRule type="containsText" dxfId="896" priority="23" operator="containsText" text="부기명 입력">
      <formula>NOT(ISERROR(SEARCH("부기명 입력",K9)))</formula>
    </cfRule>
  </conditionalFormatting>
  <conditionalFormatting sqref="K9">
    <cfRule type="containsText" dxfId="895" priority="22" operator="containsText" text="금액입력">
      <formula>NOT(ISERROR(SEARCH("금액입력",K9)))</formula>
    </cfRule>
  </conditionalFormatting>
  <conditionalFormatting sqref="L9">
    <cfRule type="containsText" dxfId="894" priority="21" operator="containsText" text="금액입력">
      <formula>NOT(ISERROR(SEARCH("금액입력",L9)))</formula>
    </cfRule>
  </conditionalFormatting>
  <conditionalFormatting sqref="F10:G15">
    <cfRule type="containsText" dxfId="893" priority="5" operator="containsText" text="직접입력">
      <formula>NOT(ISERROR(SEARCH("직접입력",F10)))</formula>
    </cfRule>
  </conditionalFormatting>
  <conditionalFormatting sqref="J10:J15">
    <cfRule type="containsText" dxfId="892" priority="4" operator="containsText" text="부기명 입력">
      <formula>NOT(ISERROR(SEARCH("부기명 입력",J10)))</formula>
    </cfRule>
  </conditionalFormatting>
  <conditionalFormatting sqref="K10:K15">
    <cfRule type="containsText" dxfId="891" priority="3" operator="containsText" text="부기명 입력">
      <formula>NOT(ISERROR(SEARCH("부기명 입력",K10)))</formula>
    </cfRule>
  </conditionalFormatting>
  <conditionalFormatting sqref="K10:K15">
    <cfRule type="containsText" dxfId="890" priority="2" operator="containsText" text="금액입력">
      <formula>NOT(ISERROR(SEARCH("금액입력",K10)))</formula>
    </cfRule>
  </conditionalFormatting>
  <conditionalFormatting sqref="L10:L15">
    <cfRule type="containsText" dxfId="889" priority="1" operator="containsText" text="금액입력">
      <formula>NOT(ISERROR(SEARCH("금액입력",L10)))</formula>
    </cfRule>
  </conditionalFormatting>
  <dataValidations count="6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:AL15" xr:uid="{00000000-0002-0000-0400-000002000000}">
      <formula1>"도비,국비,균특,기금,특교,소교"</formula1>
    </dataValidation>
    <dataValidation type="list" allowBlank="1" showInputMessage="1" showErrorMessage="1" sqref="U9:U15" xr:uid="{00000000-0002-0000-0400-000003000000}">
      <formula1>"동의, 부동의, 미실시"</formula1>
    </dataValidation>
    <dataValidation type="list" allowBlank="1" showInputMessage="1" showErrorMessage="1" sqref="AO9:AO15" xr:uid="{1435FA91-610F-4254-B1A2-D517B349E770}">
      <formula1>"지방채,지역개발기금,자체,국비"</formula1>
    </dataValidation>
    <dataValidation type="list" allowBlank="1" showInputMessage="1" showErrorMessage="1" sqref="E9:E15" xr:uid="{07C28ADA-3705-4B51-AA88-CA342201008E}">
      <formula1>"본예산, 1추, 2추, 신규"</formula1>
    </dataValidation>
    <dataValidation type="custom" allowBlank="1" showInputMessage="1" showErrorMessage="1" sqref="B9:B15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6FD72A-F994-45C5-9F19-AA8915DA7548}">
          <x14:formula1>
            <xm:f>구분표!$W$3:$W$28</xm:f>
          </x14:formula1>
          <xm:sqref>D9:D15</xm:sqref>
        </x14:dataValidation>
        <x14:dataValidation type="list" allowBlank="1" showInputMessage="1" showErrorMessage="1" xr:uid="{86860217-72D5-4BD7-A638-4E9C68C5CF6E}">
          <x14:formula1>
            <xm:f>구분표!$AI$3:$AI$6</xm:f>
          </x14:formula1>
          <xm:sqref>C9:C15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28"/>
  <sheetViews>
    <sheetView view="pageBreakPreview" zoomScale="55" zoomScaleNormal="55" zoomScaleSheetLayoutView="55" workbookViewId="0">
      <pane ySplit="6" topLeftCell="A7" activePane="bottomLeft" state="frozen"/>
      <selection pane="bottomLeft" activeCell="B2" sqref="B2:L2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411" customWidth="1"/>
    <col min="13" max="14" width="25.625" style="411" customWidth="1"/>
    <col min="15" max="15" width="21.5" style="414" customWidth="1"/>
    <col min="16" max="18" width="25.625" style="414" customWidth="1"/>
    <col min="19" max="19" width="25.625" style="438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14" customWidth="1"/>
    <col min="31" max="31" width="24.125" style="414" customWidth="1"/>
    <col min="32" max="32" width="25.625" style="20" customWidth="1"/>
    <col min="33" max="33" width="2.125" style="20" customWidth="1"/>
    <col min="34" max="36" width="20.625" style="414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297" customFormat="1" ht="96.75" customHeight="1">
      <c r="A1" s="926" t="s">
        <v>1041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  <c r="AA1" s="926"/>
      <c r="AC1" s="917" t="s">
        <v>1099</v>
      </c>
      <c r="AD1" s="918"/>
      <c r="AE1" s="918"/>
      <c r="AF1" s="919"/>
      <c r="AH1" s="920" t="s">
        <v>1098</v>
      </c>
      <c r="AI1" s="921"/>
      <c r="AJ1" s="921"/>
      <c r="AK1" s="922"/>
      <c r="AM1" s="909" t="s">
        <v>1119</v>
      </c>
      <c r="AN1" s="910"/>
      <c r="AO1" s="910"/>
      <c r="AP1" s="911"/>
      <c r="AQ1" s="20"/>
      <c r="AR1" s="20"/>
      <c r="AS1" s="20"/>
    </row>
    <row r="2" spans="1:45" s="159" customFormat="1" ht="39.75" customHeight="1">
      <c r="A2" s="158"/>
      <c r="B2" s="927"/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504"/>
      <c r="N2" s="504"/>
      <c r="O2" s="415"/>
      <c r="P2" s="433">
        <f>SUM(P7:P27)/2</f>
        <v>9805029</v>
      </c>
      <c r="Q2" s="433">
        <f>SUM(Q7:Q27)/2</f>
        <v>49193049</v>
      </c>
      <c r="R2" s="434">
        <f>SUM(R7:R27)/2</f>
        <v>0</v>
      </c>
      <c r="S2" s="433">
        <f>SUM(S7:S27)/2</f>
        <v>39388020</v>
      </c>
      <c r="T2" s="160"/>
      <c r="U2" s="30" t="s">
        <v>297</v>
      </c>
      <c r="V2" s="30"/>
      <c r="W2" s="34"/>
      <c r="X2" s="34"/>
      <c r="Y2" s="925" t="s">
        <v>299</v>
      </c>
      <c r="Z2" s="925"/>
      <c r="AA2" s="925"/>
      <c r="AC2" s="439"/>
      <c r="AD2" s="439"/>
      <c r="AE2" s="439"/>
      <c r="AF2" s="311" t="s">
        <v>114</v>
      </c>
      <c r="AH2" s="439"/>
      <c r="AI2" s="439"/>
      <c r="AJ2" s="439"/>
      <c r="AK2" s="311" t="s">
        <v>1048</v>
      </c>
      <c r="AM2" s="22"/>
      <c r="AN2" s="23"/>
      <c r="AO2" s="22"/>
      <c r="AP2" s="23"/>
      <c r="AQ2" s="20"/>
      <c r="AR2" s="20"/>
      <c r="AS2" s="20"/>
    </row>
    <row r="3" spans="1:45" s="294" customFormat="1" ht="39.950000000000003" customHeight="1">
      <c r="A3" s="885" t="s">
        <v>184</v>
      </c>
      <c r="B3" s="889" t="s">
        <v>110</v>
      </c>
      <c r="C3" s="889" t="s">
        <v>111</v>
      </c>
      <c r="D3" s="889" t="s">
        <v>112</v>
      </c>
      <c r="E3" s="928" t="s">
        <v>113</v>
      </c>
      <c r="F3" s="928" t="s">
        <v>1117</v>
      </c>
      <c r="G3" s="928" t="s">
        <v>251</v>
      </c>
      <c r="H3" s="931" t="s">
        <v>547</v>
      </c>
      <c r="I3" s="931" t="s">
        <v>271</v>
      </c>
      <c r="J3" s="931" t="s">
        <v>270</v>
      </c>
      <c r="K3" s="934" t="s">
        <v>759</v>
      </c>
      <c r="L3" s="934" t="s">
        <v>504</v>
      </c>
      <c r="M3" s="887" t="s">
        <v>2040</v>
      </c>
      <c r="N3" s="887" t="s">
        <v>1693</v>
      </c>
      <c r="O3" s="887" t="s">
        <v>1109</v>
      </c>
      <c r="P3" s="867" t="s">
        <v>1110</v>
      </c>
      <c r="Q3" s="866" t="s">
        <v>1113</v>
      </c>
      <c r="R3" s="867" t="s">
        <v>1111</v>
      </c>
      <c r="S3" s="866" t="s">
        <v>1112</v>
      </c>
      <c r="T3" s="893" t="s">
        <v>258</v>
      </c>
      <c r="U3" s="866" t="s">
        <v>255</v>
      </c>
      <c r="V3" s="866" t="s">
        <v>254</v>
      </c>
      <c r="W3" s="866" t="s">
        <v>256</v>
      </c>
      <c r="X3" s="893" t="s">
        <v>257</v>
      </c>
      <c r="Y3" s="893" t="s">
        <v>298</v>
      </c>
      <c r="Z3" s="893" t="s">
        <v>268</v>
      </c>
      <c r="AA3" s="867" t="s">
        <v>267</v>
      </c>
      <c r="AC3" s="873" t="s">
        <v>1044</v>
      </c>
      <c r="AD3" s="874"/>
      <c r="AE3" s="874"/>
      <c r="AF3" s="875"/>
      <c r="AH3" s="860" t="s">
        <v>1045</v>
      </c>
      <c r="AI3" s="861"/>
      <c r="AJ3" s="861"/>
      <c r="AK3" s="862"/>
      <c r="AM3" s="913" t="s">
        <v>1085</v>
      </c>
      <c r="AN3" s="914"/>
      <c r="AO3" s="914"/>
      <c r="AP3" s="915"/>
      <c r="AR3" s="876" t="s">
        <v>1074</v>
      </c>
      <c r="AS3" s="20"/>
    </row>
    <row r="4" spans="1:45" s="294" customFormat="1" ht="39.950000000000003" customHeight="1">
      <c r="A4" s="885"/>
      <c r="B4" s="889"/>
      <c r="C4" s="889"/>
      <c r="D4" s="889"/>
      <c r="E4" s="929"/>
      <c r="F4" s="929"/>
      <c r="G4" s="929"/>
      <c r="H4" s="932"/>
      <c r="I4" s="932"/>
      <c r="J4" s="932"/>
      <c r="K4" s="934"/>
      <c r="L4" s="934"/>
      <c r="M4" s="887"/>
      <c r="N4" s="887"/>
      <c r="O4" s="887"/>
      <c r="P4" s="868"/>
      <c r="Q4" s="866"/>
      <c r="R4" s="868"/>
      <c r="S4" s="866"/>
      <c r="T4" s="893"/>
      <c r="U4" s="866"/>
      <c r="V4" s="866"/>
      <c r="W4" s="866"/>
      <c r="X4" s="893"/>
      <c r="Y4" s="893"/>
      <c r="Z4" s="893"/>
      <c r="AA4" s="868"/>
      <c r="AC4" s="924" t="s">
        <v>119</v>
      </c>
      <c r="AD4" s="924"/>
      <c r="AE4" s="924"/>
      <c r="AF4" s="879" t="s">
        <v>1078</v>
      </c>
      <c r="AH4" s="924" t="s">
        <v>119</v>
      </c>
      <c r="AI4" s="924"/>
      <c r="AJ4" s="924"/>
      <c r="AK4" s="879" t="s">
        <v>1094</v>
      </c>
      <c r="AM4" s="876" t="s">
        <v>122</v>
      </c>
      <c r="AN4" s="876" t="s">
        <v>1071</v>
      </c>
      <c r="AO4" s="876" t="s">
        <v>1072</v>
      </c>
      <c r="AP4" s="876" t="s">
        <v>1049</v>
      </c>
      <c r="AR4" s="912"/>
      <c r="AS4" s="20"/>
    </row>
    <row r="5" spans="1:45" s="294" customFormat="1" ht="39.950000000000003" customHeight="1">
      <c r="A5" s="885"/>
      <c r="B5" s="889"/>
      <c r="C5" s="889"/>
      <c r="D5" s="889"/>
      <c r="E5" s="930"/>
      <c r="F5" s="930"/>
      <c r="G5" s="930"/>
      <c r="H5" s="933"/>
      <c r="I5" s="933"/>
      <c r="J5" s="933"/>
      <c r="K5" s="934"/>
      <c r="L5" s="934"/>
      <c r="M5" s="888"/>
      <c r="N5" s="888"/>
      <c r="O5" s="888"/>
      <c r="P5" s="869"/>
      <c r="Q5" s="892"/>
      <c r="R5" s="869"/>
      <c r="S5" s="892"/>
      <c r="T5" s="893"/>
      <c r="U5" s="866"/>
      <c r="V5" s="866"/>
      <c r="W5" s="866"/>
      <c r="X5" s="893"/>
      <c r="Y5" s="893"/>
      <c r="Z5" s="893"/>
      <c r="AA5" s="869"/>
      <c r="AC5" s="440" t="s">
        <v>1067</v>
      </c>
      <c r="AD5" s="440" t="s">
        <v>1064</v>
      </c>
      <c r="AE5" s="440" t="s">
        <v>776</v>
      </c>
      <c r="AF5" s="923"/>
      <c r="AH5" s="440" t="s">
        <v>1066</v>
      </c>
      <c r="AI5" s="440" t="s">
        <v>1063</v>
      </c>
      <c r="AJ5" s="440" t="s">
        <v>1065</v>
      </c>
      <c r="AK5" s="923"/>
      <c r="AM5" s="877"/>
      <c r="AN5" s="877"/>
      <c r="AO5" s="877"/>
      <c r="AP5" s="877"/>
      <c r="AR5" s="877"/>
      <c r="AS5" s="20"/>
    </row>
    <row r="6" spans="1:45" s="376" customFormat="1" ht="80.099999999999994" customHeight="1">
      <c r="A6" s="153"/>
      <c r="B6" s="153" t="s">
        <v>128</v>
      </c>
      <c r="C6" s="372" t="s">
        <v>191</v>
      </c>
      <c r="D6" s="372"/>
      <c r="E6" s="153"/>
      <c r="F6" s="153"/>
      <c r="G6" s="153"/>
      <c r="H6" s="153"/>
      <c r="I6" s="153"/>
      <c r="J6" s="153"/>
      <c r="K6" s="369" t="s">
        <v>191</v>
      </c>
      <c r="L6" s="370" t="str">
        <f>SUBTOTAL(3,L$7:L$1845)&amp;"건"</f>
        <v>20건</v>
      </c>
      <c r="M6" s="435">
        <f t="shared" ref="M6:S6" si="0">SUBTOTAL(9,M$7:M$1845)</f>
        <v>49099500</v>
      </c>
      <c r="N6" s="435">
        <f t="shared" si="0"/>
        <v>-9711480</v>
      </c>
      <c r="O6" s="435">
        <f t="shared" si="0"/>
        <v>39388020</v>
      </c>
      <c r="P6" s="435">
        <f t="shared" si="0"/>
        <v>9805029</v>
      </c>
      <c r="Q6" s="435">
        <f t="shared" si="0"/>
        <v>49193049</v>
      </c>
      <c r="R6" s="435">
        <f t="shared" si="0"/>
        <v>0</v>
      </c>
      <c r="S6" s="435">
        <f t="shared" si="0"/>
        <v>39388020</v>
      </c>
      <c r="T6" s="153"/>
      <c r="U6" s="373"/>
      <c r="V6" s="374"/>
      <c r="W6" s="153"/>
      <c r="X6" s="153"/>
      <c r="Y6" s="153"/>
      <c r="Z6" s="374"/>
      <c r="AA6" s="375"/>
      <c r="AC6" s="435">
        <f>SUBTOTAL(9,AC$7:AC$1845)</f>
        <v>9805029</v>
      </c>
      <c r="AD6" s="435">
        <f>SUBTOTAL(9,AD$7:AD$1845)</f>
        <v>0</v>
      </c>
      <c r="AE6" s="435">
        <f>SUBTOTAL(9,AE$7:AE$1845)</f>
        <v>0</v>
      </c>
      <c r="AF6" s="365" t="str">
        <f>IF(COUNTIF(AF$7:AF$1845,"@@")&gt;0,"@@","OK")</f>
        <v>OK</v>
      </c>
      <c r="AH6" s="435">
        <f>SUBTOTAL(9,AH$7:AH$1845)</f>
        <v>0</v>
      </c>
      <c r="AI6" s="435">
        <f>SUBTOTAL(9,AI$7:AI$1845)</f>
        <v>0</v>
      </c>
      <c r="AJ6" s="435">
        <f>SUBTOTAL(9,AJ$7:AJ$1845)</f>
        <v>0</v>
      </c>
      <c r="AK6" s="365" t="str">
        <f>IF(COUNTIF(AK$7:AK$1845,"@@")&gt;0,"@@","OK")</f>
        <v>OK</v>
      </c>
      <c r="AM6" s="377"/>
      <c r="AN6" s="365" t="str">
        <f>IF(COUNTIF(AN$7:AN$1845,"@@")&gt;0,"@@","OK")</f>
        <v>OK</v>
      </c>
      <c r="AO6" s="377"/>
      <c r="AP6" s="365" t="str">
        <f>IF(COUNTIF(AP$7:AP$1845,"@@")&gt;0,"@@","OK")</f>
        <v>OK</v>
      </c>
      <c r="AQ6" s="358"/>
      <c r="AR6" s="360"/>
      <c r="AS6" s="358"/>
    </row>
    <row r="7" spans="1:45" s="301" customFormat="1" ht="60" customHeight="1">
      <c r="A7" s="300"/>
      <c r="B7" s="916" t="s">
        <v>129</v>
      </c>
      <c r="C7" s="916"/>
      <c r="D7" s="916"/>
      <c r="E7" s="916"/>
      <c r="F7" s="916"/>
      <c r="G7" s="916"/>
      <c r="H7" s="209"/>
      <c r="I7" s="321"/>
      <c r="J7" s="321"/>
      <c r="K7" s="379"/>
      <c r="L7" s="380" t="str">
        <f>SUBTOTAL(3,L8:L27)&amp;"건"</f>
        <v>20건</v>
      </c>
      <c r="M7" s="436">
        <f t="shared" ref="M7:S7" si="1">SUBTOTAL(9,M8:M27)</f>
        <v>49099500</v>
      </c>
      <c r="N7" s="436">
        <f t="shared" si="1"/>
        <v>-9711480</v>
      </c>
      <c r="O7" s="436">
        <f t="shared" si="1"/>
        <v>39388020</v>
      </c>
      <c r="P7" s="436">
        <f t="shared" si="1"/>
        <v>9805029</v>
      </c>
      <c r="Q7" s="436">
        <f t="shared" si="1"/>
        <v>49193049</v>
      </c>
      <c r="R7" s="436">
        <f t="shared" si="1"/>
        <v>0</v>
      </c>
      <c r="S7" s="436">
        <f t="shared" si="1"/>
        <v>39388020</v>
      </c>
      <c r="T7" s="378"/>
      <c r="U7" s="381"/>
      <c r="V7" s="381"/>
      <c r="W7" s="156"/>
      <c r="X7" s="156"/>
      <c r="Y7" s="156"/>
      <c r="Z7" s="157"/>
      <c r="AA7" s="156"/>
      <c r="AC7" s="441">
        <f>SUBTOTAL(9,AC8:AC27)</f>
        <v>9805029</v>
      </c>
      <c r="AD7" s="441">
        <f>SUBTOTAL(9,AD8:AD27)</f>
        <v>0</v>
      </c>
      <c r="AE7" s="441">
        <f>SUBTOTAL(9,AE8:AE27)</f>
        <v>0</v>
      </c>
      <c r="AF7" s="509" t="str">
        <f>IF(COUNTIF(AF8:AF27,"@@")&gt;0,"@@","OK")</f>
        <v>OK</v>
      </c>
      <c r="AG7" s="135"/>
      <c r="AH7" s="441">
        <f>SUBTOTAL(9,AH8:AH27)</f>
        <v>0</v>
      </c>
      <c r="AI7" s="441">
        <f>SUBTOTAL(9,AI8:AI27)</f>
        <v>0</v>
      </c>
      <c r="AJ7" s="441">
        <f>SUBTOTAL(9,AJ8:AJ27)</f>
        <v>0</v>
      </c>
      <c r="AK7" s="509" t="str">
        <f>IF(COUNTIF(AK8:AK27,"@@")&gt;0,"@@","OK")</f>
        <v>OK</v>
      </c>
      <c r="AL7" s="135"/>
      <c r="AM7" s="382"/>
      <c r="AN7" s="509" t="str">
        <f>IF(COUNTIF(AN8:AN27,"@@")&gt;0,"@@","OK")</f>
        <v>OK</v>
      </c>
      <c r="AO7" s="382"/>
      <c r="AP7" s="509" t="str">
        <f>IF(COUNTIF(AP8:AP27,"@@")&gt;0,"@@","OK")</f>
        <v>OK</v>
      </c>
      <c r="AQ7" s="134"/>
      <c r="AR7" s="382"/>
      <c r="AS7" s="20"/>
    </row>
    <row r="8" spans="1:45" s="19" customFormat="1" ht="60" customHeight="1">
      <c r="A8" s="126">
        <f>IF(D8="","",COUNTA($C$7:C8)-COUNTBLANK($C$7:C8)+6)</f>
        <v>6</v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[1]구분표!$A$3:$C$258,2,))))))</f>
        <v>농정해양위원회</v>
      </c>
      <c r="C8" s="127" t="str">
        <f>IF(D8="","",IF(OR(D8="교육지원과",D8="총무과",D8="인사과"),"직접입력",VLOOKUP(D8,[1]구분표!$A$3:$C$258,3,)))</f>
        <v>농수산생명과학국</v>
      </c>
      <c r="D8" s="187" t="s">
        <v>2049</v>
      </c>
      <c r="E8" s="181" t="s">
        <v>1694</v>
      </c>
      <c r="F8" s="350">
        <v>620</v>
      </c>
      <c r="G8" s="350">
        <v>99</v>
      </c>
      <c r="H8" s="181" t="s">
        <v>391</v>
      </c>
      <c r="I8" s="127" t="str">
        <f>IF(H8="","",VLOOKUP($H8,[1]구분표!$K$3:$M$151,2,FALSE))</f>
        <v>민간이전</v>
      </c>
      <c r="J8" s="127" t="str">
        <f>IF(I8="","",VLOOKUP($H8,[1]구분표!$K$3:$M$151,3,FALSE))</f>
        <v>민간행사사업보조</v>
      </c>
      <c r="K8" s="201" t="s">
        <v>2047</v>
      </c>
      <c r="L8" s="201" t="s">
        <v>2048</v>
      </c>
      <c r="M8" s="419">
        <v>650000</v>
      </c>
      <c r="N8" s="419">
        <v>-150000</v>
      </c>
      <c r="O8" s="421">
        <f t="shared" ref="O8:O11" si="2">IF($E8="","",SUM(M8:N8))</f>
        <v>500000</v>
      </c>
      <c r="P8" s="420">
        <v>150000</v>
      </c>
      <c r="Q8" s="421">
        <f t="shared" ref="Q8" si="3">SUM(O8:P8)</f>
        <v>650000</v>
      </c>
      <c r="R8" s="422"/>
      <c r="S8" s="423">
        <f t="shared" ref="S8" si="4">SUM(O8,R8)</f>
        <v>500000</v>
      </c>
      <c r="T8" s="133" t="str">
        <f t="shared" ref="T8" si="5">IF(AND((Q8=0),(S8&gt;0)),"O",IF(AND((P8&lt;0),(Q8-S8&lt;0)),"O","X"))</f>
        <v>X</v>
      </c>
      <c r="U8" s="188"/>
      <c r="V8" s="296"/>
      <c r="W8" s="189"/>
      <c r="X8" s="190"/>
      <c r="Y8" s="188"/>
      <c r="Z8" s="190"/>
      <c r="AA8" s="188"/>
      <c r="AC8" s="447">
        <f t="shared" ref="AC8" si="6">IF($P8="", 0, IF(AND(ISNUMBER(AD8), ISNUMBER(AE8)), $P8-$AD8-$AE8, 0))</f>
        <v>150000</v>
      </c>
      <c r="AD8" s="447">
        <f t="shared" ref="AD8:AD27" si="7">IF($P8="", 0, IF(COUNT(FIND("(지방채)",$L8))&gt;0, "재원입력필요", 0))</f>
        <v>0</v>
      </c>
      <c r="AE8" s="447">
        <f t="shared" ref="AE8:AE27" si="8">IF($P8="", 0, IF(COUNT(FIND("(지역개발기금)",$L8))&gt;0, "재원입력필요", 0))</f>
        <v>0</v>
      </c>
      <c r="AF8" s="336" t="str">
        <f t="shared" ref="AF8" si="9">IF($P8="", IF(SUM($AC8:$AE8)=0, "", "@@"), IF(AND($P8=SUM($AC8:$AE8),Q8&gt;=0),"OK","@@"))</f>
        <v>OK</v>
      </c>
      <c r="AG8" s="135"/>
      <c r="AH8" s="447">
        <f t="shared" ref="AH8:AH27" si="10">IF($R8="", 0, IF(AND(ISNUMBER($AI8), ISNUMBER($AJ8)), $R8-$AI8-$AJ8, 0))</f>
        <v>0</v>
      </c>
      <c r="AI8" s="447">
        <f t="shared" ref="AI8:AI27" si="11">IF($P8="", 0, IF(COUNT(FIND("(지방채)",$L8))&gt;0, "재원입력필요", 0))</f>
        <v>0</v>
      </c>
      <c r="AJ8" s="447">
        <f t="shared" ref="AJ8:AJ27" si="12">IF($P8="", 0, IF(COUNT(FIND("(지역개발기금)",$L8))&gt;0, "재원입력필요", 0))</f>
        <v>0</v>
      </c>
      <c r="AK8" s="336" t="str">
        <f t="shared" ref="AK8:AK27" si="13">IF($R8="", IF(SUM($AH8:$AJ8)=0, "", "@@"), IF(AND($R8=SUM($AH8:$AJ8),$S8&gt;=0),"OK","@@"))</f>
        <v/>
      </c>
      <c r="AL8" s="7"/>
      <c r="AM8" s="493"/>
      <c r="AN8" s="336" t="str">
        <f>IF($AM8="","", IF($AM8="세입없음", "OK",  IF(COUNTIF('[1]3. 일입'!$AN$8:$AN$2000,$AM8), "OK","@@")))</f>
        <v/>
      </c>
      <c r="AO8" s="320" t="str">
        <f t="shared" ref="AO8:AO27" si="14">IF($L8="","",IF(COUNT(FIND("(지역개발기금)",$L8)),"지역개발기금",IF(COUNT(FIND("지방채",$L8)),"지방채","자체")))</f>
        <v>자체</v>
      </c>
      <c r="AP8" s="336" t="str">
        <f t="shared" ref="AP8:AP27" si="15">IF($AM8="", IF($AO8="", "", IF($AO8="자체", "OK", "@@")), IF($AM8="세입없음", "OK", IF($AO8="", "@@", IF(ISNUMBER(FIND($AO8,$AM8)),"OK","@@"))))</f>
        <v>OK</v>
      </c>
      <c r="AQ8" s="7"/>
      <c r="AR8" s="336" t="str">
        <f t="array" ref="AR8">IF(OR($D8="", $C8="직접입력", $B8="직접입력"), "", INDEX([1]구분표!$I$3:$I$321, MATCH(1,([1]구분표!$G$3:$G$321=$B8)*([1]구분표!$E$3:$E$321=$C8)*([1]구분표!$F$3:$F$321=$D8),0)))</f>
        <v>14001</v>
      </c>
    </row>
    <row r="9" spans="1:45" s="19" customFormat="1" ht="60" customHeight="1">
      <c r="A9" s="126">
        <f>IF(D9="","",COUNTA($C$7:C9)-COUNTBLANK($C$7:C9)+6)</f>
        <v>7</v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[1]구분표!$A$3:$C$258,2,))))))</f>
        <v>농정해양위원회</v>
      </c>
      <c r="C9" s="127" t="str">
        <f>IF(D9="","",IF(OR(D9="교육지원과",D9="총무과",D9="인사과"),"직접입력",VLOOKUP(D9,[1]구분표!$A$3:$C$258,3,)))</f>
        <v>농수산생명과학국</v>
      </c>
      <c r="D9" s="187" t="s">
        <v>72</v>
      </c>
      <c r="E9" s="181" t="s">
        <v>1694</v>
      </c>
      <c r="F9" s="350">
        <v>624</v>
      </c>
      <c r="G9" s="350">
        <v>153</v>
      </c>
      <c r="H9" s="181" t="s">
        <v>386</v>
      </c>
      <c r="I9" s="127" t="str">
        <f>IF(H9="","",VLOOKUP($H9,[1]구분표!$K$3:$M$151,2,FALSE))</f>
        <v>출연금</v>
      </c>
      <c r="J9" s="127" t="str">
        <f>IF(I9="","",VLOOKUP($H9,[1]구분표!$K$3:$M$151,3,FALSE))</f>
        <v>출연금</v>
      </c>
      <c r="K9" s="201" t="s">
        <v>2050</v>
      </c>
      <c r="L9" s="201" t="s">
        <v>2054</v>
      </c>
      <c r="M9" s="419">
        <v>10015000</v>
      </c>
      <c r="N9" s="419">
        <v>-782840</v>
      </c>
      <c r="O9" s="421">
        <f t="shared" si="2"/>
        <v>9232160</v>
      </c>
      <c r="P9" s="420">
        <v>782840</v>
      </c>
      <c r="Q9" s="421">
        <f t="shared" ref="Q9:Q27" si="16">SUM(O9:P9)</f>
        <v>10015000</v>
      </c>
      <c r="R9" s="422"/>
      <c r="S9" s="423">
        <f t="shared" ref="S9:S27" si="17">SUM(O9,R9)</f>
        <v>9232160</v>
      </c>
      <c r="T9" s="133" t="str">
        <f t="shared" ref="T9:T18" si="18">IF(AND((Q9=0),(S9&gt;0)),"O",IF(AND((P9&lt;0),(Q9-S9&lt;0)),"O","X"))</f>
        <v>X</v>
      </c>
      <c r="U9" s="188"/>
      <c r="V9" s="296"/>
      <c r="W9" s="189"/>
      <c r="X9" s="190"/>
      <c r="Y9" s="188"/>
      <c r="Z9" s="190"/>
      <c r="AA9" s="188"/>
      <c r="AC9" s="447">
        <f t="shared" ref="AC9:AC18" si="19">IF($P9="", 0, IF(AND(ISNUMBER(AD9), ISNUMBER(AE9)), $P9-$AD9-$AE9, 0))</f>
        <v>782840</v>
      </c>
      <c r="AD9" s="447">
        <f t="shared" si="7"/>
        <v>0</v>
      </c>
      <c r="AE9" s="447">
        <f t="shared" si="8"/>
        <v>0</v>
      </c>
      <c r="AF9" s="336" t="str">
        <f t="shared" ref="AF9:AF18" si="20">IF($P9="", IF(SUM($AC9:$AE9)=0, "", "@@"), IF(AND($P9=SUM($AC9:$AE9),Q9&gt;=0),"OK","@@"))</f>
        <v>OK</v>
      </c>
      <c r="AG9" s="135"/>
      <c r="AH9" s="447">
        <f t="shared" si="10"/>
        <v>0</v>
      </c>
      <c r="AI9" s="447">
        <f t="shared" si="11"/>
        <v>0</v>
      </c>
      <c r="AJ9" s="447">
        <f t="shared" si="12"/>
        <v>0</v>
      </c>
      <c r="AK9" s="336" t="str">
        <f t="shared" si="13"/>
        <v/>
      </c>
      <c r="AL9" s="7"/>
      <c r="AM9" s="493"/>
      <c r="AN9" s="336" t="str">
        <f>IF($AM9="","", IF($AM9="세입없음", "OK",  IF(COUNTIF('[1]3. 일입'!$AN$8:$AN$2000,$AM9), "OK","@@")))</f>
        <v/>
      </c>
      <c r="AO9" s="320" t="str">
        <f t="shared" si="14"/>
        <v>자체</v>
      </c>
      <c r="AP9" s="336" t="str">
        <f t="shared" si="15"/>
        <v>OK</v>
      </c>
      <c r="AQ9" s="7"/>
      <c r="AR9" s="336" t="str">
        <f t="array" ref="AR9">IF(OR($D9="", $C9="직접입력", $B9="직접입력"), "", INDEX([1]구분표!$I$3:$I$321, MATCH(1,([1]구분표!$G$3:$G$321=$B9)*([1]구분표!$E$3:$E$321=$C9)*([1]구분표!$F$3:$F$321=$D9),0)))</f>
        <v>14002</v>
      </c>
    </row>
    <row r="10" spans="1:45" s="19" customFormat="1" ht="60" customHeight="1">
      <c r="A10" s="126">
        <f>IF(D10="","",COUNTA($C$7:C10)-COUNTBLANK($C$7:C10)+6)</f>
        <v>8</v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[1]구분표!$A$3:$C$258,2,))))))</f>
        <v>농정해양위원회</v>
      </c>
      <c r="C10" s="127" t="str">
        <f>IF(D10="","",IF(OR(D10="교육지원과",D10="총무과",D10="인사과"),"직접입력",VLOOKUP(D10,[1]구분표!$A$3:$C$258,3,)))</f>
        <v>농수산생명과학국</v>
      </c>
      <c r="D10" s="187" t="s">
        <v>72</v>
      </c>
      <c r="E10" s="181" t="s">
        <v>1694</v>
      </c>
      <c r="F10" s="350">
        <v>626</v>
      </c>
      <c r="G10" s="350">
        <v>186</v>
      </c>
      <c r="H10" s="181" t="s">
        <v>442</v>
      </c>
      <c r="I10" s="127" t="str">
        <f>IF(H10="","",VLOOKUP($H10,[1]구분표!$K$3:$M$151,2,FALSE))</f>
        <v>자치단체등 자본이전</v>
      </c>
      <c r="J10" s="127" t="str">
        <f>IF(I10="","",VLOOKUP($H10,[1]구분표!$K$3:$M$151,3,FALSE))</f>
        <v>자치단체자본보조</v>
      </c>
      <c r="K10" s="201" t="s">
        <v>2051</v>
      </c>
      <c r="L10" s="201" t="s">
        <v>2055</v>
      </c>
      <c r="M10" s="419">
        <v>500000</v>
      </c>
      <c r="N10" s="419">
        <v>-16451</v>
      </c>
      <c r="O10" s="421">
        <f t="shared" si="2"/>
        <v>483549</v>
      </c>
      <c r="P10" s="420">
        <v>10000</v>
      </c>
      <c r="Q10" s="421">
        <f t="shared" si="16"/>
        <v>493549</v>
      </c>
      <c r="R10" s="422"/>
      <c r="S10" s="423">
        <f t="shared" si="17"/>
        <v>483549</v>
      </c>
      <c r="T10" s="133" t="str">
        <f t="shared" si="18"/>
        <v>X</v>
      </c>
      <c r="U10" s="188"/>
      <c r="V10" s="296"/>
      <c r="W10" s="189"/>
      <c r="X10" s="190"/>
      <c r="Y10" s="188"/>
      <c r="Z10" s="190"/>
      <c r="AA10" s="188"/>
      <c r="AC10" s="447">
        <f t="shared" si="19"/>
        <v>10000</v>
      </c>
      <c r="AD10" s="447">
        <f t="shared" si="7"/>
        <v>0</v>
      </c>
      <c r="AE10" s="447">
        <f t="shared" si="8"/>
        <v>0</v>
      </c>
      <c r="AF10" s="336" t="str">
        <f t="shared" si="20"/>
        <v>OK</v>
      </c>
      <c r="AG10" s="135"/>
      <c r="AH10" s="447">
        <f t="shared" si="10"/>
        <v>0</v>
      </c>
      <c r="AI10" s="447">
        <f t="shared" si="11"/>
        <v>0</v>
      </c>
      <c r="AJ10" s="447">
        <f t="shared" si="12"/>
        <v>0</v>
      </c>
      <c r="AK10" s="336" t="str">
        <f t="shared" si="13"/>
        <v/>
      </c>
      <c r="AL10" s="7"/>
      <c r="AM10" s="493"/>
      <c r="AN10" s="336" t="str">
        <f>IF($AM10="","", IF($AM10="세입없음", "OK",  IF(COUNTIF('[1]3. 일입'!$AN$8:$AN$2000,$AM10), "OK","@@")))</f>
        <v/>
      </c>
      <c r="AO10" s="320" t="str">
        <f t="shared" si="14"/>
        <v>자체</v>
      </c>
      <c r="AP10" s="336" t="str">
        <f t="shared" si="15"/>
        <v>OK</v>
      </c>
      <c r="AQ10" s="7"/>
      <c r="AR10" s="336" t="str">
        <f t="array" ref="AR10">IF(OR($D10="", $C10="직접입력", $B10="직접입력"), "", INDEX([1]구분표!$I$3:$I$321, MATCH(1,([1]구분표!$G$3:$G$321=$B10)*([1]구분표!$E$3:$E$321=$C10)*([1]구분표!$F$3:$F$321=$D10),0)))</f>
        <v>14002</v>
      </c>
    </row>
    <row r="11" spans="1:45" s="19" customFormat="1" ht="60" customHeight="1">
      <c r="A11" s="126">
        <f>IF(D11="","",COUNTA($C$7:C11)-COUNTBLANK($C$7:C11)+6)</f>
        <v>9</v>
      </c>
      <c r="B11" s="127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[1]구분표!$A$3:$C$258,2,))))))</f>
        <v>농정해양위원회</v>
      </c>
      <c r="C11" s="127" t="str">
        <f>IF(D11="","",IF(OR(D11="교육지원과",D11="총무과",D11="인사과"),"직접입력",VLOOKUP(D11,[1]구분표!$A$3:$C$258,3,)))</f>
        <v>농수산생명과학국</v>
      </c>
      <c r="D11" s="187" t="s">
        <v>72</v>
      </c>
      <c r="E11" s="181" t="s">
        <v>1694</v>
      </c>
      <c r="F11" s="350">
        <v>625</v>
      </c>
      <c r="G11" s="350">
        <v>180</v>
      </c>
      <c r="H11" s="181" t="s">
        <v>408</v>
      </c>
      <c r="I11" s="127" t="str">
        <f>IF(H11="","",VLOOKUP($H11,[1]구분표!$K$3:$M$151,2,FALSE))</f>
        <v>자치단체등 이전</v>
      </c>
      <c r="J11" s="127" t="str">
        <f>IF(I11="","",VLOOKUP($H11,[1]구분표!$K$3:$M$151,3,FALSE))</f>
        <v>자치단체경상보조금</v>
      </c>
      <c r="K11" s="201" t="s">
        <v>2052</v>
      </c>
      <c r="L11" s="201" t="s">
        <v>2057</v>
      </c>
      <c r="M11" s="419">
        <v>227500</v>
      </c>
      <c r="N11" s="419">
        <v>-6524</v>
      </c>
      <c r="O11" s="421">
        <f t="shared" si="2"/>
        <v>220976</v>
      </c>
      <c r="P11" s="420">
        <v>6524</v>
      </c>
      <c r="Q11" s="421">
        <f t="shared" ref="Q11" si="21">SUM(O11:P11)</f>
        <v>227500</v>
      </c>
      <c r="R11" s="422"/>
      <c r="S11" s="423">
        <f t="shared" ref="S11" si="22">SUM(O11,R11)</f>
        <v>220976</v>
      </c>
      <c r="T11" s="133" t="str">
        <f t="shared" ref="T11" si="23">IF(AND((Q11=0),(S11&gt;0)),"O",IF(AND((P11&lt;0),(Q11-S11&lt;0)),"O","X"))</f>
        <v>X</v>
      </c>
      <c r="U11" s="188"/>
      <c r="V11" s="296"/>
      <c r="W11" s="189"/>
      <c r="X11" s="190"/>
      <c r="Y11" s="188"/>
      <c r="Z11" s="190"/>
      <c r="AA11" s="188"/>
      <c r="AC11" s="447">
        <f t="shared" ref="AC11" si="24">IF($P11="", 0, IF(AND(ISNUMBER(AD11), ISNUMBER(AE11)), $P11-$AD11-$AE11, 0))</f>
        <v>6524</v>
      </c>
      <c r="AD11" s="447">
        <f t="shared" si="7"/>
        <v>0</v>
      </c>
      <c r="AE11" s="447">
        <f t="shared" si="8"/>
        <v>0</v>
      </c>
      <c r="AF11" s="336" t="str">
        <f t="shared" ref="AF11" si="25">IF($P11="", IF(SUM($AC11:$AE11)=0, "", "@@"), IF(AND($P11=SUM($AC11:$AE11),Q11&gt;=0),"OK","@@"))</f>
        <v>OK</v>
      </c>
      <c r="AG11" s="135"/>
      <c r="AH11" s="447">
        <f t="shared" si="10"/>
        <v>0</v>
      </c>
      <c r="AI11" s="447">
        <f t="shared" si="11"/>
        <v>0</v>
      </c>
      <c r="AJ11" s="447">
        <f t="shared" si="12"/>
        <v>0</v>
      </c>
      <c r="AK11" s="336" t="str">
        <f t="shared" si="13"/>
        <v/>
      </c>
      <c r="AL11" s="7"/>
      <c r="AM11" s="493"/>
      <c r="AN11" s="336" t="str">
        <f>IF($AM11="","", IF($AM11="세입없음", "OK",  IF(COUNTIF('[1]3. 일입'!$AN$8:$AN$2000,$AM11), "OK","@@")))</f>
        <v/>
      </c>
      <c r="AO11" s="320" t="str">
        <f t="shared" si="14"/>
        <v>자체</v>
      </c>
      <c r="AP11" s="336" t="str">
        <f t="shared" si="15"/>
        <v>OK</v>
      </c>
      <c r="AQ11" s="7"/>
      <c r="AR11" s="336" t="str">
        <f t="array" ref="AR11">IF(OR($D11="", $C11="직접입력", $B11="직접입력"), "", INDEX([1]구분표!$I$3:$I$321, MATCH(1,([1]구분표!$G$3:$G$321=$B11)*([1]구분표!$E$3:$E$321=$C11)*([1]구분표!$F$3:$F$321=$D11),0)))</f>
        <v>14002</v>
      </c>
    </row>
    <row r="12" spans="1:45" s="19" customFormat="1" ht="60" customHeight="1">
      <c r="A12" s="126">
        <f>IF(D12="","",COUNTA($C$7:C12)-COUNTBLANK($C$7:C12)+6)</f>
        <v>10</v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[1]구분표!$A$3:$C$258,2,))))))</f>
        <v>농정해양위원회</v>
      </c>
      <c r="C12" s="127" t="str">
        <f>IF(D12="","",IF(OR(D12="교육지원과",D12="총무과",D12="인사과"),"직접입력",VLOOKUP(D12,[1]구분표!$A$3:$C$258,3,)))</f>
        <v>농수산생명과학국</v>
      </c>
      <c r="D12" s="187" t="s">
        <v>72</v>
      </c>
      <c r="E12" s="181" t="s">
        <v>1694</v>
      </c>
      <c r="F12" s="350">
        <v>626</v>
      </c>
      <c r="G12" s="350">
        <v>183</v>
      </c>
      <c r="H12" s="181" t="s">
        <v>2062</v>
      </c>
      <c r="I12" s="127" t="str">
        <f>IF(H12="","",VLOOKUP($H12,[1]구분표!$K$3:$M$151,2,FALSE))</f>
        <v>자치단체등 이전</v>
      </c>
      <c r="J12" s="127" t="str">
        <f>IF(I12="","",VLOOKUP($H12,[1]구분표!$K$3:$M$151,3,FALSE))</f>
        <v>공기관등에대한경상적위탁사업비</v>
      </c>
      <c r="K12" s="201" t="s">
        <v>2061</v>
      </c>
      <c r="L12" s="201" t="s">
        <v>2056</v>
      </c>
      <c r="M12" s="419">
        <v>18000000</v>
      </c>
      <c r="N12" s="419">
        <v>-4191126</v>
      </c>
      <c r="O12" s="421">
        <f t="shared" ref="O12:O27" si="26">IF($E12="","",SUM(M12:N12))</f>
        <v>13808874</v>
      </c>
      <c r="P12" s="420">
        <v>4191126</v>
      </c>
      <c r="Q12" s="421">
        <f t="shared" si="16"/>
        <v>18000000</v>
      </c>
      <c r="R12" s="422"/>
      <c r="S12" s="423">
        <f t="shared" si="17"/>
        <v>13808874</v>
      </c>
      <c r="T12" s="133" t="str">
        <f t="shared" si="18"/>
        <v>X</v>
      </c>
      <c r="U12" s="188"/>
      <c r="V12" s="296"/>
      <c r="W12" s="189"/>
      <c r="X12" s="190"/>
      <c r="Y12" s="188"/>
      <c r="Z12" s="190"/>
      <c r="AA12" s="188"/>
      <c r="AC12" s="447">
        <f t="shared" si="19"/>
        <v>4191126</v>
      </c>
      <c r="AD12" s="447">
        <f t="shared" si="7"/>
        <v>0</v>
      </c>
      <c r="AE12" s="447">
        <f t="shared" si="8"/>
        <v>0</v>
      </c>
      <c r="AF12" s="336" t="str">
        <f t="shared" si="20"/>
        <v>OK</v>
      </c>
      <c r="AG12" s="135"/>
      <c r="AH12" s="447">
        <f t="shared" si="10"/>
        <v>0</v>
      </c>
      <c r="AI12" s="447">
        <f t="shared" si="11"/>
        <v>0</v>
      </c>
      <c r="AJ12" s="447">
        <f t="shared" si="12"/>
        <v>0</v>
      </c>
      <c r="AK12" s="336" t="str">
        <f t="shared" si="13"/>
        <v/>
      </c>
      <c r="AL12" s="7"/>
      <c r="AM12" s="493"/>
      <c r="AN12" s="336" t="str">
        <f>IF($AM12="","", IF($AM12="세입없음", "OK",  IF(COUNTIF('[1]3. 일입'!$AN$8:$AN$2000,$AM12), "OK","@@")))</f>
        <v/>
      </c>
      <c r="AO12" s="320" t="str">
        <f t="shared" si="14"/>
        <v>자체</v>
      </c>
      <c r="AP12" s="336" t="str">
        <f t="shared" si="15"/>
        <v>OK</v>
      </c>
      <c r="AQ12" s="7"/>
      <c r="AR12" s="336" t="str">
        <f t="array" ref="AR12">IF(OR($D12="", $C12="직접입력", $B12="직접입력"), "", INDEX([1]구분표!$I$3:$I$321, MATCH(1,([1]구분표!$G$3:$G$321=$B12)*([1]구분표!$E$3:$E$321=$C12)*([1]구분표!$F$3:$F$321=$D12),0)))</f>
        <v>14002</v>
      </c>
    </row>
    <row r="13" spans="1:45" s="19" customFormat="1" ht="60" customHeight="1">
      <c r="A13" s="126">
        <f>IF(D13="","",COUNTA($C$7:C13)-COUNTBLANK($C$7:C13)+6)</f>
        <v>11</v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[1]구분표!$A$3:$C$258,2,))))))</f>
        <v>농정해양위원회</v>
      </c>
      <c r="C13" s="127" t="str">
        <f>IF(D13="","",IF(OR(D13="교육지원과",D13="총무과",D13="인사과"),"직접입력",VLOOKUP(D13,[1]구분표!$A$3:$C$258,3,)))</f>
        <v>농수산생명과학국</v>
      </c>
      <c r="D13" s="187" t="s">
        <v>72</v>
      </c>
      <c r="E13" s="181" t="s">
        <v>1694</v>
      </c>
      <c r="F13" s="350">
        <v>624</v>
      </c>
      <c r="G13" s="350">
        <v>159</v>
      </c>
      <c r="H13" s="181" t="s">
        <v>442</v>
      </c>
      <c r="I13" s="127" t="str">
        <f>IF(H13="","",VLOOKUP($H13,[1]구분표!$K$3:$M$151,2,FALSE))</f>
        <v>자치단체등 자본이전</v>
      </c>
      <c r="J13" s="127" t="str">
        <f>IF(I13="","",VLOOKUP($H13,[1]구분표!$K$3:$M$151,3,FALSE))</f>
        <v>자치단체자본보조</v>
      </c>
      <c r="K13" s="201" t="s">
        <v>2053</v>
      </c>
      <c r="L13" s="201" t="s">
        <v>2058</v>
      </c>
      <c r="M13" s="419">
        <v>720000</v>
      </c>
      <c r="N13" s="419">
        <v>-119168</v>
      </c>
      <c r="O13" s="421">
        <f t="shared" si="26"/>
        <v>600832</v>
      </c>
      <c r="P13" s="420">
        <v>119168</v>
      </c>
      <c r="Q13" s="421">
        <f t="shared" si="16"/>
        <v>720000</v>
      </c>
      <c r="R13" s="422"/>
      <c r="S13" s="423">
        <f t="shared" si="17"/>
        <v>600832</v>
      </c>
      <c r="T13" s="133" t="str">
        <f t="shared" si="18"/>
        <v>X</v>
      </c>
      <c r="U13" s="188"/>
      <c r="V13" s="296"/>
      <c r="W13" s="189"/>
      <c r="X13" s="190"/>
      <c r="Y13" s="188"/>
      <c r="Z13" s="190"/>
      <c r="AA13" s="188"/>
      <c r="AC13" s="447">
        <f t="shared" si="19"/>
        <v>119168</v>
      </c>
      <c r="AD13" s="447">
        <f t="shared" si="7"/>
        <v>0</v>
      </c>
      <c r="AE13" s="447">
        <f t="shared" si="8"/>
        <v>0</v>
      </c>
      <c r="AF13" s="336" t="str">
        <f t="shared" si="20"/>
        <v>OK</v>
      </c>
      <c r="AG13" s="135"/>
      <c r="AH13" s="447">
        <f t="shared" si="10"/>
        <v>0</v>
      </c>
      <c r="AI13" s="447">
        <f t="shared" si="11"/>
        <v>0</v>
      </c>
      <c r="AJ13" s="447">
        <f t="shared" si="12"/>
        <v>0</v>
      </c>
      <c r="AK13" s="336" t="str">
        <f t="shared" si="13"/>
        <v/>
      </c>
      <c r="AL13" s="7"/>
      <c r="AM13" s="493"/>
      <c r="AN13" s="336" t="str">
        <f>IF($AM13="","", IF($AM13="세입없음", "OK",  IF(COUNTIF('[1]3. 일입'!$AN$8:$AN$2000,$AM13), "OK","@@")))</f>
        <v/>
      </c>
      <c r="AO13" s="320" t="str">
        <f t="shared" si="14"/>
        <v>자체</v>
      </c>
      <c r="AP13" s="336" t="str">
        <f t="shared" si="15"/>
        <v>OK</v>
      </c>
      <c r="AQ13" s="7"/>
      <c r="AR13" s="336" t="str">
        <f t="array" ref="AR13">IF(OR($D13="", $C13="직접입력", $B13="직접입력"), "", INDEX([1]구분표!$I$3:$I$321, MATCH(1,([1]구분표!$G$3:$G$321=$B13)*([1]구분표!$E$3:$E$321=$C13)*([1]구분표!$F$3:$F$321=$D13),0)))</f>
        <v>14002</v>
      </c>
    </row>
    <row r="14" spans="1:45" s="128" customFormat="1" ht="60" customHeight="1">
      <c r="A14" s="126">
        <f>IF(D14="","",COUNTA($C$7:C14)-COUNTBLANK($C$7:C14)+6)</f>
        <v>12</v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[1]구분표!$A$3:$C$258,2,))))))</f>
        <v>농정해양위원회</v>
      </c>
      <c r="C14" s="127" t="str">
        <f>IF(D14="","",IF(OR(D14="교육지원과",D14="총무과",D14="인사과"),"직접입력",VLOOKUP(D14,[1]구분표!$A$3:$C$258,3,)))</f>
        <v>농수산생명과학국</v>
      </c>
      <c r="D14" s="187" t="s">
        <v>73</v>
      </c>
      <c r="E14" s="181" t="s">
        <v>1694</v>
      </c>
      <c r="F14" s="350">
        <v>629</v>
      </c>
      <c r="G14" s="350">
        <v>233</v>
      </c>
      <c r="H14" s="181" t="s">
        <v>408</v>
      </c>
      <c r="I14" s="127" t="str">
        <f>IF(H14="","",VLOOKUP($H14,[1]구분표!$K$3:$M$151,2,FALSE))</f>
        <v>자치단체등 이전</v>
      </c>
      <c r="J14" s="127" t="str">
        <f>IF(I14="","",VLOOKUP($H14,[1]구분표!$K$3:$M$151,3,FALSE))</f>
        <v>자치단체경상보조금</v>
      </c>
      <c r="K14" s="201" t="s">
        <v>2063</v>
      </c>
      <c r="L14" s="201" t="s">
        <v>2066</v>
      </c>
      <c r="M14" s="419">
        <v>10524000</v>
      </c>
      <c r="N14" s="419">
        <v>-283954</v>
      </c>
      <c r="O14" s="421">
        <f t="shared" si="26"/>
        <v>10240046</v>
      </c>
      <c r="P14" s="420">
        <v>283954</v>
      </c>
      <c r="Q14" s="421">
        <f t="shared" si="16"/>
        <v>10524000</v>
      </c>
      <c r="R14" s="422"/>
      <c r="S14" s="423">
        <f t="shared" si="17"/>
        <v>10240046</v>
      </c>
      <c r="T14" s="133" t="str">
        <f t="shared" si="18"/>
        <v>X</v>
      </c>
      <c r="U14" s="188"/>
      <c r="V14" s="296"/>
      <c r="W14" s="189"/>
      <c r="X14" s="190"/>
      <c r="Y14" s="188"/>
      <c r="Z14" s="190"/>
      <c r="AA14" s="188"/>
      <c r="AB14" s="19"/>
      <c r="AC14" s="447">
        <f t="shared" si="19"/>
        <v>283954</v>
      </c>
      <c r="AD14" s="447">
        <f t="shared" si="7"/>
        <v>0</v>
      </c>
      <c r="AE14" s="447">
        <f t="shared" si="8"/>
        <v>0</v>
      </c>
      <c r="AF14" s="336" t="str">
        <f t="shared" si="20"/>
        <v>OK</v>
      </c>
      <c r="AG14" s="135"/>
      <c r="AH14" s="447">
        <f t="shared" si="10"/>
        <v>0</v>
      </c>
      <c r="AI14" s="447">
        <f t="shared" si="11"/>
        <v>0</v>
      </c>
      <c r="AJ14" s="447">
        <f t="shared" si="12"/>
        <v>0</v>
      </c>
      <c r="AK14" s="336" t="str">
        <f t="shared" si="13"/>
        <v/>
      </c>
      <c r="AL14" s="7"/>
      <c r="AM14" s="493"/>
      <c r="AN14" s="336" t="str">
        <f>IF($AM14="","", IF($AM14="세입없음", "OK",  IF(COUNTIF('[1]3. 일입'!$AN$8:$AN$2000,$AM14), "OK","@@")))</f>
        <v/>
      </c>
      <c r="AO14" s="320" t="str">
        <f t="shared" si="14"/>
        <v>자체</v>
      </c>
      <c r="AP14" s="336" t="str">
        <f t="shared" si="15"/>
        <v>OK</v>
      </c>
      <c r="AQ14" s="7"/>
      <c r="AR14" s="336" t="str">
        <f t="array" ref="AR14">IF(OR($D14="", $C14="직접입력", $B14="직접입력"), "", INDEX([1]구분표!$I$3:$I$321, MATCH(1,([1]구분표!$G$3:$G$321=$B14)*([1]구분표!$E$3:$E$321=$C14)*([1]구분표!$F$3:$F$321=$D14),0)))</f>
        <v>14003</v>
      </c>
      <c r="AS14" s="19"/>
    </row>
    <row r="15" spans="1:45" s="19" customFormat="1" ht="60" customHeight="1">
      <c r="A15" s="126">
        <f>IF(D15="","",COUNTA($C$7:C15)-COUNTBLANK($C$7:C15)+6)</f>
        <v>13</v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[1]구분표!$A$3:$C$258,2,))))))</f>
        <v>농정해양위원회</v>
      </c>
      <c r="C15" s="127" t="str">
        <f>IF(D15="","",IF(OR(D15="교육지원과",D15="총무과",D15="인사과"),"직접입력",VLOOKUP(D15,[1]구분표!$A$3:$C$258,3,)))</f>
        <v>농수산생명과학국</v>
      </c>
      <c r="D15" s="187" t="s">
        <v>73</v>
      </c>
      <c r="E15" s="181" t="s">
        <v>1694</v>
      </c>
      <c r="F15" s="350">
        <v>631</v>
      </c>
      <c r="G15" s="350">
        <v>263</v>
      </c>
      <c r="H15" s="181" t="s">
        <v>408</v>
      </c>
      <c r="I15" s="127" t="str">
        <f>IF(H15="","",VLOOKUP($H15,[1]구분표!$K$3:$M$151,2,FALSE))</f>
        <v>자치단체등 이전</v>
      </c>
      <c r="J15" s="127" t="str">
        <f>IF(I15="","",VLOOKUP($H15,[1]구분표!$K$3:$M$151,3,FALSE))</f>
        <v>자치단체경상보조금</v>
      </c>
      <c r="K15" s="201" t="s">
        <v>2064</v>
      </c>
      <c r="L15" s="201" t="s">
        <v>2059</v>
      </c>
      <c r="M15" s="419">
        <v>600000</v>
      </c>
      <c r="N15" s="419">
        <v>-180000</v>
      </c>
      <c r="O15" s="421">
        <f t="shared" si="26"/>
        <v>420000</v>
      </c>
      <c r="P15" s="420">
        <v>180000</v>
      </c>
      <c r="Q15" s="421">
        <f t="shared" si="16"/>
        <v>600000</v>
      </c>
      <c r="R15" s="422"/>
      <c r="S15" s="423">
        <f t="shared" si="17"/>
        <v>420000</v>
      </c>
      <c r="T15" s="133" t="str">
        <f t="shared" si="18"/>
        <v>X</v>
      </c>
      <c r="U15" s="188"/>
      <c r="V15" s="296"/>
      <c r="W15" s="189"/>
      <c r="X15" s="190"/>
      <c r="Y15" s="188"/>
      <c r="Z15" s="190"/>
      <c r="AA15" s="188"/>
      <c r="AC15" s="447">
        <f t="shared" si="19"/>
        <v>180000</v>
      </c>
      <c r="AD15" s="447">
        <f t="shared" si="7"/>
        <v>0</v>
      </c>
      <c r="AE15" s="447">
        <f t="shared" si="8"/>
        <v>0</v>
      </c>
      <c r="AF15" s="336" t="str">
        <f t="shared" si="20"/>
        <v>OK</v>
      </c>
      <c r="AG15" s="135"/>
      <c r="AH15" s="447">
        <f t="shared" si="10"/>
        <v>0</v>
      </c>
      <c r="AI15" s="447">
        <f t="shared" si="11"/>
        <v>0</v>
      </c>
      <c r="AJ15" s="447">
        <f t="shared" si="12"/>
        <v>0</v>
      </c>
      <c r="AK15" s="336" t="str">
        <f t="shared" si="13"/>
        <v/>
      </c>
      <c r="AL15" s="7"/>
      <c r="AM15" s="493"/>
      <c r="AN15" s="336" t="str">
        <f>IF($AM15="","", IF($AM15="세입없음", "OK",  IF(COUNTIF('[1]3. 일입'!$AN$8:$AN$2000,$AM15), "OK","@@")))</f>
        <v/>
      </c>
      <c r="AO15" s="320" t="str">
        <f t="shared" si="14"/>
        <v>자체</v>
      </c>
      <c r="AP15" s="336" t="str">
        <f t="shared" si="15"/>
        <v>OK</v>
      </c>
      <c r="AQ15" s="7"/>
      <c r="AR15" s="336" t="str">
        <f t="array" ref="AR15">IF(OR($D15="", $C15="직접입력", $B15="직접입력"), "", INDEX([1]구분표!$I$3:$I$321, MATCH(1,([1]구분표!$G$3:$G$321=$B15)*([1]구분표!$E$3:$E$321=$C15)*([1]구분표!$F$3:$F$321=$D15),0)))</f>
        <v>14003</v>
      </c>
    </row>
    <row r="16" spans="1:45" s="19" customFormat="1" ht="60" customHeight="1">
      <c r="A16" s="126">
        <f>IF(D16="","",COUNTA($C$7:C16)-COUNTBLANK($C$7:C16)+6)</f>
        <v>14</v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[1]구분표!$A$3:$C$258,2,))))))</f>
        <v>농정해양위원회</v>
      </c>
      <c r="C16" s="127" t="str">
        <f>IF(D16="","",IF(OR(D16="교육지원과",D16="총무과",D16="인사과"),"직접입력",VLOOKUP(D16,[1]구분표!$A$3:$C$258,3,)))</f>
        <v>농수산생명과학국</v>
      </c>
      <c r="D16" s="187" t="s">
        <v>73</v>
      </c>
      <c r="E16" s="181" t="s">
        <v>1694</v>
      </c>
      <c r="F16" s="350">
        <v>629</v>
      </c>
      <c r="G16" s="350">
        <v>245</v>
      </c>
      <c r="H16" s="181" t="s">
        <v>389</v>
      </c>
      <c r="I16" s="127" t="str">
        <f>IF(H16="","",VLOOKUP($H16,[1]구분표!$K$3:$M$151,2,FALSE))</f>
        <v>민간이전</v>
      </c>
      <c r="J16" s="127" t="str">
        <f>IF(I16="","",VLOOKUP($H16,[1]구분표!$K$3:$M$151,3,FALSE))</f>
        <v>민간경상사업보조</v>
      </c>
      <c r="K16" s="201" t="s">
        <v>2065</v>
      </c>
      <c r="L16" s="201" t="s">
        <v>2060</v>
      </c>
      <c r="M16" s="419">
        <v>420000</v>
      </c>
      <c r="N16" s="419">
        <v>-420000</v>
      </c>
      <c r="O16" s="421">
        <f t="shared" si="26"/>
        <v>0</v>
      </c>
      <c r="P16" s="420">
        <v>420000</v>
      </c>
      <c r="Q16" s="421">
        <f t="shared" si="16"/>
        <v>420000</v>
      </c>
      <c r="R16" s="422"/>
      <c r="S16" s="423">
        <f t="shared" si="17"/>
        <v>0</v>
      </c>
      <c r="T16" s="133" t="str">
        <f t="shared" si="18"/>
        <v>X</v>
      </c>
      <c r="U16" s="188"/>
      <c r="V16" s="296"/>
      <c r="W16" s="189"/>
      <c r="X16" s="190"/>
      <c r="Y16" s="188"/>
      <c r="Z16" s="190"/>
      <c r="AA16" s="188"/>
      <c r="AC16" s="447">
        <f t="shared" si="19"/>
        <v>420000</v>
      </c>
      <c r="AD16" s="447">
        <f t="shared" si="7"/>
        <v>0</v>
      </c>
      <c r="AE16" s="447">
        <f t="shared" si="8"/>
        <v>0</v>
      </c>
      <c r="AF16" s="336" t="str">
        <f t="shared" si="20"/>
        <v>OK</v>
      </c>
      <c r="AG16" s="135"/>
      <c r="AH16" s="447">
        <f t="shared" si="10"/>
        <v>0</v>
      </c>
      <c r="AI16" s="447">
        <f t="shared" si="11"/>
        <v>0</v>
      </c>
      <c r="AJ16" s="447">
        <f t="shared" si="12"/>
        <v>0</v>
      </c>
      <c r="AK16" s="336" t="str">
        <f t="shared" si="13"/>
        <v/>
      </c>
      <c r="AL16" s="7"/>
      <c r="AM16" s="493"/>
      <c r="AN16" s="336" t="str">
        <f>IF($AM16="","", IF($AM16="세입없음", "OK",  IF(COUNTIF('[1]3. 일입'!$AN$8:$AN$2000,$AM16), "OK","@@")))</f>
        <v/>
      </c>
      <c r="AO16" s="320" t="str">
        <f t="shared" si="14"/>
        <v>자체</v>
      </c>
      <c r="AP16" s="336" t="str">
        <f t="shared" si="15"/>
        <v>OK</v>
      </c>
      <c r="AQ16" s="7"/>
      <c r="AR16" s="336" t="str">
        <f t="array" ref="AR16">IF(OR($D16="", $C16="직접입력", $B16="직접입력"), "", INDEX([1]구분표!$I$3:$I$321, MATCH(1,([1]구분표!$G$3:$G$321=$B16)*([1]구분표!$E$3:$E$321=$C16)*([1]구분표!$F$3:$F$321=$D16),0)))</f>
        <v>14003</v>
      </c>
    </row>
    <row r="17" spans="1:44" s="19" customFormat="1" ht="60" customHeight="1">
      <c r="A17" s="126">
        <f>IF(D17="","",COUNTA($C$7:C17)-COUNTBLANK($C$7:C17)+6)</f>
        <v>15</v>
      </c>
      <c r="B17" s="127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[1]구분표!$A$3:$C$258,2,))))))</f>
        <v>농정해양위원회</v>
      </c>
      <c r="C17" s="127" t="str">
        <f>IF(D17="","",IF(OR(D17="교육지원과",D17="총무과",D17="인사과"),"직접입력",VLOOKUP(D17,[1]구분표!$A$3:$C$258,3,)))</f>
        <v>농수산생명과학국</v>
      </c>
      <c r="D17" s="187" t="s">
        <v>73</v>
      </c>
      <c r="E17" s="181" t="s">
        <v>1696</v>
      </c>
      <c r="F17" s="350" t="str">
        <f t="shared" ref="F17:G17" si="27">IF($E17="","",IF($E17="2추","직접입력","-"))</f>
        <v>-</v>
      </c>
      <c r="G17" s="350" t="str">
        <f t="shared" si="27"/>
        <v>-</v>
      </c>
      <c r="H17" s="181" t="s">
        <v>408</v>
      </c>
      <c r="I17" s="127" t="str">
        <f>IF(H17="","",VLOOKUP($H17,[1]구분표!$K$3:$M$151,2,FALSE))</f>
        <v>자치단체등 이전</v>
      </c>
      <c r="J17" s="127" t="str">
        <f>IF(I17="","",VLOOKUP($H17,[1]구분표!$K$3:$M$151,3,FALSE))</f>
        <v>자치단체경상보조금</v>
      </c>
      <c r="K17" s="201" t="s">
        <v>2067</v>
      </c>
      <c r="L17" s="201" t="s">
        <v>2068</v>
      </c>
      <c r="M17" s="419">
        <v>455000</v>
      </c>
      <c r="N17" s="419">
        <v>0</v>
      </c>
      <c r="O17" s="421">
        <f t="shared" si="26"/>
        <v>455000</v>
      </c>
      <c r="P17" s="420">
        <v>100000</v>
      </c>
      <c r="Q17" s="421">
        <f t="shared" si="16"/>
        <v>555000</v>
      </c>
      <c r="R17" s="422"/>
      <c r="S17" s="423">
        <f t="shared" ref="S17" si="28">SUM(O17,R17)</f>
        <v>455000</v>
      </c>
      <c r="T17" s="133" t="str">
        <f t="shared" ref="T17" si="29">IF(AND((Q17=0),(S17&gt;0)),"O",IF(AND((P17&lt;0),(Q17-S17&lt;0)),"O","X"))</f>
        <v>X</v>
      </c>
      <c r="U17" s="188"/>
      <c r="V17" s="296"/>
      <c r="W17" s="189"/>
      <c r="X17" s="190"/>
      <c r="Y17" s="188"/>
      <c r="Z17" s="190"/>
      <c r="AA17" s="188"/>
      <c r="AC17" s="447">
        <f t="shared" ref="AC17" si="30">IF($P17="", 0, IF(AND(ISNUMBER(AD17), ISNUMBER(AE17)), $P17-$AD17-$AE17, 0))</f>
        <v>100000</v>
      </c>
      <c r="AD17" s="447">
        <f t="shared" si="7"/>
        <v>0</v>
      </c>
      <c r="AE17" s="447">
        <f t="shared" si="8"/>
        <v>0</v>
      </c>
      <c r="AF17" s="336" t="str">
        <f t="shared" ref="AF17" si="31">IF($P17="", IF(SUM($AC17:$AE17)=0, "", "@@"), IF(AND($P17=SUM($AC17:$AE17),Q17&gt;=0),"OK","@@"))</f>
        <v>OK</v>
      </c>
      <c r="AG17" s="135"/>
      <c r="AH17" s="447">
        <f t="shared" si="10"/>
        <v>0</v>
      </c>
      <c r="AI17" s="447">
        <f t="shared" si="11"/>
        <v>0</v>
      </c>
      <c r="AJ17" s="447">
        <f t="shared" si="12"/>
        <v>0</v>
      </c>
      <c r="AK17" s="336" t="str">
        <f t="shared" si="13"/>
        <v/>
      </c>
      <c r="AL17" s="7"/>
      <c r="AM17" s="493"/>
      <c r="AN17" s="336" t="str">
        <f>IF($AM17="","", IF($AM17="세입없음", "OK",  IF(COUNTIF('[1]3. 일입'!$AN$8:$AN$2000,$AM17), "OK","@@")))</f>
        <v/>
      </c>
      <c r="AO17" s="320" t="str">
        <f t="shared" si="14"/>
        <v>자체</v>
      </c>
      <c r="AP17" s="336" t="str">
        <f t="shared" si="15"/>
        <v>OK</v>
      </c>
      <c r="AQ17" s="7"/>
      <c r="AR17" s="336" t="str">
        <f t="array" ref="AR17">IF(OR($D17="", $C17="직접입력", $B17="직접입력"), "", INDEX([1]구분표!$I$3:$I$321, MATCH(1,([1]구분표!$G$3:$G$321=$B17)*([1]구분표!$E$3:$E$321=$C17)*([1]구분표!$F$3:$F$321=$D17),0)))</f>
        <v>14003</v>
      </c>
    </row>
    <row r="18" spans="1:44" s="19" customFormat="1" ht="60" customHeight="1">
      <c r="A18" s="126">
        <f>IF(D18="","",COUNTA($C$7:C18)-COUNTBLANK($C$7:C18)+6)</f>
        <v>16</v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[1]구분표!$A$3:$C$258,2,))))))</f>
        <v>농정해양위원회</v>
      </c>
      <c r="C18" s="127" t="str">
        <f>IF(D18="","",IF(OR(D18="교육지원과",D18="총무과",D18="인사과"),"직접입력",VLOOKUP(D18,[1]구분표!$A$3:$C$258,3,)))</f>
        <v>농수산생명과학국</v>
      </c>
      <c r="D18" s="187" t="s">
        <v>218</v>
      </c>
      <c r="E18" s="181" t="s">
        <v>1694</v>
      </c>
      <c r="F18" s="350">
        <v>634</v>
      </c>
      <c r="G18" s="350">
        <v>310</v>
      </c>
      <c r="H18" s="181" t="s">
        <v>2062</v>
      </c>
      <c r="I18" s="127" t="str">
        <f>IF(H18="","",VLOOKUP($H18,[1]구분표!$K$3:$M$151,2,FALSE))</f>
        <v>자치단체등 이전</v>
      </c>
      <c r="J18" s="127" t="str">
        <f>IF(I18="","",VLOOKUP($H18,[1]구분표!$K$3:$M$151,3,FALSE))</f>
        <v>공기관등에대한경상적위탁사업비</v>
      </c>
      <c r="K18" s="201" t="s">
        <v>2069</v>
      </c>
      <c r="L18" s="201" t="s">
        <v>2070</v>
      </c>
      <c r="M18" s="419">
        <v>800000</v>
      </c>
      <c r="N18" s="419">
        <v>-203000</v>
      </c>
      <c r="O18" s="421">
        <f t="shared" si="26"/>
        <v>597000</v>
      </c>
      <c r="P18" s="420">
        <v>203000</v>
      </c>
      <c r="Q18" s="421">
        <f t="shared" si="16"/>
        <v>800000</v>
      </c>
      <c r="R18" s="422"/>
      <c r="S18" s="423">
        <f t="shared" si="17"/>
        <v>597000</v>
      </c>
      <c r="T18" s="133" t="str">
        <f t="shared" si="18"/>
        <v>X</v>
      </c>
      <c r="U18" s="188"/>
      <c r="V18" s="296"/>
      <c r="W18" s="189"/>
      <c r="X18" s="190"/>
      <c r="Y18" s="188"/>
      <c r="Z18" s="190"/>
      <c r="AA18" s="188"/>
      <c r="AC18" s="447">
        <f t="shared" si="19"/>
        <v>203000</v>
      </c>
      <c r="AD18" s="447">
        <f t="shared" si="7"/>
        <v>0</v>
      </c>
      <c r="AE18" s="447">
        <f t="shared" si="8"/>
        <v>0</v>
      </c>
      <c r="AF18" s="336" t="str">
        <f t="shared" si="20"/>
        <v>OK</v>
      </c>
      <c r="AG18" s="135"/>
      <c r="AH18" s="447">
        <f t="shared" si="10"/>
        <v>0</v>
      </c>
      <c r="AI18" s="447">
        <f t="shared" si="11"/>
        <v>0</v>
      </c>
      <c r="AJ18" s="447">
        <f t="shared" si="12"/>
        <v>0</v>
      </c>
      <c r="AK18" s="336" t="str">
        <f t="shared" si="13"/>
        <v/>
      </c>
      <c r="AL18" s="7"/>
      <c r="AM18" s="493"/>
      <c r="AN18" s="336" t="str">
        <f>IF($AM18="","", IF($AM18="세입없음", "OK",  IF(COUNTIF('[1]3. 일입'!$AN$8:$AN$2000,$AM18), "OK","@@")))</f>
        <v/>
      </c>
      <c r="AO18" s="320" t="str">
        <f t="shared" si="14"/>
        <v>자체</v>
      </c>
      <c r="AP18" s="336" t="str">
        <f t="shared" si="15"/>
        <v>OK</v>
      </c>
      <c r="AQ18" s="7"/>
      <c r="AR18" s="336" t="str">
        <f t="array" ref="AR18">IF(OR($D18="", $C18="직접입력", $B18="직접입력"), "", INDEX([1]구분표!$I$3:$I$321, MATCH(1,([1]구분표!$G$3:$G$321=$B18)*([1]구분표!$E$3:$E$321=$C18)*([1]구분표!$F$3:$F$321=$D18),0)))</f>
        <v>14004</v>
      </c>
    </row>
    <row r="19" spans="1:44" s="19" customFormat="1" ht="60" customHeight="1">
      <c r="A19" s="126">
        <f>IF(D19="","",COUNTA($C$7:C19)-COUNTBLANK($C$7:C19)+6)</f>
        <v>17</v>
      </c>
      <c r="B19" s="127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[1]구분표!$A$3:$C$258,2,))))))</f>
        <v>농정해양위원회</v>
      </c>
      <c r="C19" s="127" t="str">
        <f>IF(D19="","",IF(OR(D19="교육지원과",D19="총무과",D19="인사과"),"직접입력",VLOOKUP(D19,[1]구분표!$A$3:$C$258,3,)))</f>
        <v>축산동물복지국</v>
      </c>
      <c r="D19" s="187" t="s">
        <v>76</v>
      </c>
      <c r="E19" s="181" t="s">
        <v>1694</v>
      </c>
      <c r="F19" s="350">
        <v>656</v>
      </c>
      <c r="G19" s="350">
        <v>116</v>
      </c>
      <c r="H19" s="181" t="s">
        <v>408</v>
      </c>
      <c r="I19" s="127" t="str">
        <f>IF(H19="","",VLOOKUP($H19,[1]구분표!$K$3:$M$151,2,FALSE))</f>
        <v>자치단체등 이전</v>
      </c>
      <c r="J19" s="127" t="str">
        <f>IF(I19="","",VLOOKUP($H19,[1]구분표!$K$3:$M$151,3,FALSE))</f>
        <v>자치단체경상보조금</v>
      </c>
      <c r="K19" s="201" t="s">
        <v>2072</v>
      </c>
      <c r="L19" s="201" t="s">
        <v>2073</v>
      </c>
      <c r="M19" s="419">
        <v>540000</v>
      </c>
      <c r="N19" s="419">
        <v>-99864</v>
      </c>
      <c r="O19" s="421">
        <f t="shared" si="26"/>
        <v>440136</v>
      </c>
      <c r="P19" s="420">
        <v>99864</v>
      </c>
      <c r="Q19" s="421">
        <f t="shared" si="16"/>
        <v>540000</v>
      </c>
      <c r="R19" s="422"/>
      <c r="S19" s="423">
        <f t="shared" si="17"/>
        <v>440136</v>
      </c>
      <c r="T19" s="133" t="str">
        <f t="shared" ref="T19:T27" si="32">IF(AND((Q19=0),(S19&gt;0)),"O",IF(AND((P19&lt;0),(Q19-S19&lt;0)),"O","X"))</f>
        <v>X</v>
      </c>
      <c r="U19" s="188"/>
      <c r="V19" s="296"/>
      <c r="W19" s="189"/>
      <c r="X19" s="190"/>
      <c r="Y19" s="188"/>
      <c r="Z19" s="190"/>
      <c r="AA19" s="188"/>
      <c r="AC19" s="447">
        <f t="shared" ref="AC19:AC27" si="33">IF($P19="", 0, IF(AND(ISNUMBER(AD19), ISNUMBER(AE19)), $P19-$AD19-$AE19, 0))</f>
        <v>99864</v>
      </c>
      <c r="AD19" s="447">
        <f t="shared" si="7"/>
        <v>0</v>
      </c>
      <c r="AE19" s="447">
        <f t="shared" si="8"/>
        <v>0</v>
      </c>
      <c r="AF19" s="336" t="str">
        <f t="shared" ref="AF19:AF27" si="34">IF($P19="", IF(SUM($AC19:$AE19)=0, "", "@@"), IF(AND($P19=SUM($AC19:$AE19),Q19&gt;=0),"OK","@@"))</f>
        <v>OK</v>
      </c>
      <c r="AG19" s="135"/>
      <c r="AH19" s="447">
        <f t="shared" si="10"/>
        <v>0</v>
      </c>
      <c r="AI19" s="447">
        <f t="shared" si="11"/>
        <v>0</v>
      </c>
      <c r="AJ19" s="447">
        <f t="shared" si="12"/>
        <v>0</v>
      </c>
      <c r="AK19" s="336" t="str">
        <f t="shared" si="13"/>
        <v/>
      </c>
      <c r="AL19" s="7"/>
      <c r="AM19" s="493"/>
      <c r="AN19" s="336" t="str">
        <f>IF($AM19="","", IF($AM19="세입없음", "OK",  IF(COUNTIF('[1]3. 일입'!$AN$8:$AN$2000,$AM19), "OK","@@")))</f>
        <v/>
      </c>
      <c r="AO19" s="320" t="str">
        <f t="shared" si="14"/>
        <v>자체</v>
      </c>
      <c r="AP19" s="336" t="str">
        <f t="shared" si="15"/>
        <v>OK</v>
      </c>
      <c r="AQ19" s="7"/>
      <c r="AR19" s="336" t="str">
        <f t="array" ref="AR19">IF(OR($D19="", $C19="직접입력", $B19="직접입력"), "", INDEX([1]구분표!$I$3:$I$321, MATCH(1,([1]구분표!$G$3:$G$321=$B19)*([1]구분표!$E$3:$E$321=$C19)*([1]구분표!$F$3:$F$321=$D19),0)))</f>
        <v>20701</v>
      </c>
    </row>
    <row r="20" spans="1:44" s="19" customFormat="1" ht="60" customHeight="1">
      <c r="A20" s="126">
        <f>IF(D20="","",COUNTA($C$7:C20)-COUNTBLANK($C$7:C20)+6)</f>
        <v>18</v>
      </c>
      <c r="B20" s="127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[1]구분표!$A$3:$C$258,2,))))))</f>
        <v>농정해양위원회</v>
      </c>
      <c r="C20" s="127" t="str">
        <f>IF(D20="","",IF(OR(D20="교육지원과",D20="총무과",D20="인사과"),"직접입력",VLOOKUP(D20,[1]구분표!$A$3:$C$258,3,)))</f>
        <v>축산동물복지국</v>
      </c>
      <c r="D20" s="187" t="s">
        <v>76</v>
      </c>
      <c r="E20" s="181" t="s">
        <v>1694</v>
      </c>
      <c r="F20" s="350">
        <v>652</v>
      </c>
      <c r="G20" s="350">
        <v>57</v>
      </c>
      <c r="H20" s="181" t="s">
        <v>442</v>
      </c>
      <c r="I20" s="127" t="str">
        <f>IF(H20="","",VLOOKUP($H20,[1]구분표!$K$3:$M$151,2,FALSE))</f>
        <v>자치단체등 자본이전</v>
      </c>
      <c r="J20" s="127" t="str">
        <f>IF(I20="","",VLOOKUP($H20,[1]구분표!$K$3:$M$151,3,FALSE))</f>
        <v>자치단체자본보조</v>
      </c>
      <c r="K20" s="201" t="s">
        <v>2074</v>
      </c>
      <c r="L20" s="201" t="s">
        <v>2075</v>
      </c>
      <c r="M20" s="419">
        <v>2500000</v>
      </c>
      <c r="N20" s="419">
        <v>-300000</v>
      </c>
      <c r="O20" s="421">
        <f t="shared" si="26"/>
        <v>2200000</v>
      </c>
      <c r="P20" s="420">
        <v>300000</v>
      </c>
      <c r="Q20" s="421">
        <f t="shared" si="16"/>
        <v>2500000</v>
      </c>
      <c r="R20" s="422"/>
      <c r="S20" s="423">
        <f t="shared" si="17"/>
        <v>2200000</v>
      </c>
      <c r="T20" s="133" t="str">
        <f t="shared" si="32"/>
        <v>X</v>
      </c>
      <c r="U20" s="188"/>
      <c r="V20" s="296"/>
      <c r="W20" s="189"/>
      <c r="X20" s="190"/>
      <c r="Y20" s="188"/>
      <c r="Z20" s="190"/>
      <c r="AA20" s="188"/>
      <c r="AC20" s="447">
        <f t="shared" si="33"/>
        <v>300000</v>
      </c>
      <c r="AD20" s="447">
        <f t="shared" si="7"/>
        <v>0</v>
      </c>
      <c r="AE20" s="447">
        <f t="shared" si="8"/>
        <v>0</v>
      </c>
      <c r="AF20" s="336" t="str">
        <f t="shared" si="34"/>
        <v>OK</v>
      </c>
      <c r="AG20" s="135"/>
      <c r="AH20" s="447">
        <f t="shared" si="10"/>
        <v>0</v>
      </c>
      <c r="AI20" s="447">
        <f t="shared" si="11"/>
        <v>0</v>
      </c>
      <c r="AJ20" s="447">
        <f t="shared" si="12"/>
        <v>0</v>
      </c>
      <c r="AK20" s="336" t="str">
        <f t="shared" si="13"/>
        <v/>
      </c>
      <c r="AL20" s="7"/>
      <c r="AM20" s="493"/>
      <c r="AN20" s="336" t="str">
        <f>IF($AM20="","", IF($AM20="세입없음", "OK",  IF(COUNTIF('[1]3. 일입'!$AN$8:$AN$2000,$AM20), "OK","@@")))</f>
        <v/>
      </c>
      <c r="AO20" s="320" t="str">
        <f t="shared" si="14"/>
        <v>자체</v>
      </c>
      <c r="AP20" s="336" t="str">
        <f t="shared" si="15"/>
        <v>OK</v>
      </c>
      <c r="AQ20" s="7"/>
      <c r="AR20" s="336" t="str">
        <f t="array" ref="AR20">IF(OR($D20="", $C20="직접입력", $B20="직접입력"), "", INDEX([1]구분표!$I$3:$I$321, MATCH(1,([1]구분표!$G$3:$G$321=$B20)*([1]구분표!$E$3:$E$321=$C20)*([1]구분표!$F$3:$F$321=$D20),0)))</f>
        <v>20701</v>
      </c>
    </row>
    <row r="21" spans="1:44" s="19" customFormat="1" ht="60" customHeight="1">
      <c r="A21" s="126">
        <f>IF(D21="","",COUNTA($C$7:C21)-COUNTBLANK($C$7:C21)+6)</f>
        <v>19</v>
      </c>
      <c r="B21" s="127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[1]구분표!$A$3:$C$258,2,))))))</f>
        <v>농정해양위원회</v>
      </c>
      <c r="C21" s="127" t="str">
        <f>IF(D21="","",IF(OR(D21="교육지원과",D21="총무과",D21="인사과"),"직접입력",VLOOKUP(D21,[1]구분표!$A$3:$C$258,3,)))</f>
        <v>축산동물복지국</v>
      </c>
      <c r="D21" s="187" t="s">
        <v>938</v>
      </c>
      <c r="E21" s="181" t="s">
        <v>1694</v>
      </c>
      <c r="F21" s="350">
        <v>668</v>
      </c>
      <c r="G21" s="350">
        <v>278</v>
      </c>
      <c r="H21" s="181" t="s">
        <v>389</v>
      </c>
      <c r="I21" s="127" t="str">
        <f>IF(H21="","",VLOOKUP($H21,[1]구분표!$K$3:$M$151,2,FALSE))</f>
        <v>민간이전</v>
      </c>
      <c r="J21" s="127" t="str">
        <f>IF(I21="","",VLOOKUP($H21,[1]구분표!$K$3:$M$151,3,FALSE))</f>
        <v>민간경상사업보조</v>
      </c>
      <c r="K21" s="201" t="s">
        <v>2110</v>
      </c>
      <c r="L21" s="201" t="s">
        <v>2111</v>
      </c>
      <c r="M21" s="419">
        <v>90000</v>
      </c>
      <c r="N21" s="419">
        <v>-9056</v>
      </c>
      <c r="O21" s="421">
        <f t="shared" si="26"/>
        <v>80944</v>
      </c>
      <c r="P21" s="420">
        <v>9056</v>
      </c>
      <c r="Q21" s="421">
        <f t="shared" si="16"/>
        <v>90000</v>
      </c>
      <c r="R21" s="422"/>
      <c r="S21" s="423">
        <f t="shared" si="17"/>
        <v>80944</v>
      </c>
      <c r="T21" s="133" t="str">
        <f t="shared" si="32"/>
        <v>X</v>
      </c>
      <c r="U21" s="188"/>
      <c r="V21" s="296"/>
      <c r="W21" s="189"/>
      <c r="X21" s="190"/>
      <c r="Y21" s="188"/>
      <c r="Z21" s="190"/>
      <c r="AA21" s="188"/>
      <c r="AC21" s="447">
        <f t="shared" si="33"/>
        <v>9056</v>
      </c>
      <c r="AD21" s="447">
        <f t="shared" si="7"/>
        <v>0</v>
      </c>
      <c r="AE21" s="447">
        <f t="shared" si="8"/>
        <v>0</v>
      </c>
      <c r="AF21" s="336" t="str">
        <f t="shared" si="34"/>
        <v>OK</v>
      </c>
      <c r="AG21" s="135"/>
      <c r="AH21" s="447">
        <f t="shared" si="10"/>
        <v>0</v>
      </c>
      <c r="AI21" s="447">
        <f t="shared" si="11"/>
        <v>0</v>
      </c>
      <c r="AJ21" s="447">
        <f t="shared" si="12"/>
        <v>0</v>
      </c>
      <c r="AK21" s="336" t="str">
        <f t="shared" si="13"/>
        <v/>
      </c>
      <c r="AL21" s="7"/>
      <c r="AM21" s="493"/>
      <c r="AN21" s="336" t="str">
        <f>IF($AM21="","", IF($AM21="세입없음", "OK",  IF(COUNTIF('[1]3. 일입'!$AN$8:$AN$2000,$AM21), "OK","@@")))</f>
        <v/>
      </c>
      <c r="AO21" s="320" t="str">
        <f t="shared" si="14"/>
        <v>자체</v>
      </c>
      <c r="AP21" s="336" t="str">
        <f t="shared" si="15"/>
        <v>OK</v>
      </c>
      <c r="AQ21" s="7"/>
      <c r="AR21" s="336" t="str">
        <f t="array" ref="AR21">IF(OR($D21="", $C21="직접입력", $B21="직접입력"), "", INDEX([1]구분표!$I$3:$I$321, MATCH(1,([1]구분표!$G$3:$G$321=$B21)*([1]구분표!$E$3:$E$321=$C21)*([1]구분표!$F$3:$F$321=$D21),0)))</f>
        <v>20704</v>
      </c>
    </row>
    <row r="22" spans="1:44" s="19" customFormat="1" ht="60" customHeight="1">
      <c r="A22" s="126">
        <f>IF(D22="","",COUNTA($C$7:C22)-COUNTBLANK($C$7:C22)+6)</f>
        <v>20</v>
      </c>
      <c r="B22" s="127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[1]구분표!$A$3:$C$258,2,))))))</f>
        <v>농정해양위원회</v>
      </c>
      <c r="C22" s="127" t="str">
        <f>IF(D22="","",IF(OR(D22="교육지원과",D22="총무과",D22="인사과"),"직접입력",VLOOKUP(D22,[1]구분표!$A$3:$C$258,3,)))</f>
        <v>축산동물복지국</v>
      </c>
      <c r="D22" s="187" t="s">
        <v>938</v>
      </c>
      <c r="E22" s="181" t="s">
        <v>1694</v>
      </c>
      <c r="F22" s="350">
        <v>669</v>
      </c>
      <c r="G22" s="350">
        <v>278</v>
      </c>
      <c r="H22" s="181" t="s">
        <v>2062</v>
      </c>
      <c r="I22" s="127" t="str">
        <f>IF(H22="","",VLOOKUP($H22,[1]구분표!$K$3:$M$151,2,FALSE))</f>
        <v>자치단체등 이전</v>
      </c>
      <c r="J22" s="127" t="str">
        <f>IF(I22="","",VLOOKUP($H22,[1]구분표!$K$3:$M$151,3,FALSE))</f>
        <v>공기관등에대한경상적위탁사업비</v>
      </c>
      <c r="K22" s="201" t="s">
        <v>2110</v>
      </c>
      <c r="L22" s="201" t="s">
        <v>2112</v>
      </c>
      <c r="M22" s="419">
        <v>50000</v>
      </c>
      <c r="N22" s="419">
        <v>-20000</v>
      </c>
      <c r="O22" s="421">
        <f t="shared" si="26"/>
        <v>30000</v>
      </c>
      <c r="P22" s="420">
        <v>20000</v>
      </c>
      <c r="Q22" s="421">
        <f t="shared" si="16"/>
        <v>50000</v>
      </c>
      <c r="R22" s="422"/>
      <c r="S22" s="423">
        <f t="shared" si="17"/>
        <v>30000</v>
      </c>
      <c r="T22" s="133" t="str">
        <f t="shared" si="32"/>
        <v>X</v>
      </c>
      <c r="U22" s="188"/>
      <c r="V22" s="296"/>
      <c r="W22" s="189"/>
      <c r="X22" s="190"/>
      <c r="Y22" s="188"/>
      <c r="Z22" s="190"/>
      <c r="AA22" s="188"/>
      <c r="AC22" s="447">
        <f t="shared" si="33"/>
        <v>20000</v>
      </c>
      <c r="AD22" s="447">
        <f t="shared" si="7"/>
        <v>0</v>
      </c>
      <c r="AE22" s="447">
        <f t="shared" si="8"/>
        <v>0</v>
      </c>
      <c r="AF22" s="336" t="str">
        <f t="shared" si="34"/>
        <v>OK</v>
      </c>
      <c r="AG22" s="135"/>
      <c r="AH22" s="447">
        <f t="shared" si="10"/>
        <v>0</v>
      </c>
      <c r="AI22" s="447">
        <f t="shared" si="11"/>
        <v>0</v>
      </c>
      <c r="AJ22" s="447">
        <f t="shared" si="12"/>
        <v>0</v>
      </c>
      <c r="AK22" s="336" t="str">
        <f t="shared" si="13"/>
        <v/>
      </c>
      <c r="AL22" s="7"/>
      <c r="AM22" s="493"/>
      <c r="AN22" s="336" t="str">
        <f>IF($AM22="","", IF($AM22="세입없음", "OK",  IF(COUNTIF('[1]3. 일입'!$AN$8:$AN$2000,$AM22), "OK","@@")))</f>
        <v/>
      </c>
      <c r="AO22" s="320" t="str">
        <f t="shared" si="14"/>
        <v>자체</v>
      </c>
      <c r="AP22" s="336" t="str">
        <f t="shared" si="15"/>
        <v>OK</v>
      </c>
      <c r="AQ22" s="7"/>
      <c r="AR22" s="336" t="str">
        <f t="array" ref="AR22">IF(OR($D22="", $C22="직접입력", $B22="직접입력"), "", INDEX([1]구분표!$I$3:$I$321, MATCH(1,([1]구분표!$G$3:$G$321=$B22)*([1]구분표!$E$3:$E$321=$C22)*([1]구분표!$F$3:$F$321=$D22),0)))</f>
        <v>20704</v>
      </c>
    </row>
    <row r="23" spans="1:44" s="19" customFormat="1" ht="60" customHeight="1">
      <c r="A23" s="126">
        <f>IF(D23="","",COUNTA($C$7:C23)-COUNTBLANK($C$7:C23)+6)</f>
        <v>21</v>
      </c>
      <c r="B23" s="127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[1]구분표!$A$3:$C$258,2,))))))</f>
        <v>농정해양위원회</v>
      </c>
      <c r="C23" s="127" t="str">
        <f>IF(D23="","",IF(OR(D23="교육지원과",D23="총무과",D23="인사과"),"직접입력",VLOOKUP(D23,[1]구분표!$A$3:$C$258,3,)))</f>
        <v>축산동물복지국</v>
      </c>
      <c r="D23" s="187" t="s">
        <v>174</v>
      </c>
      <c r="E23" s="181" t="s">
        <v>1694</v>
      </c>
      <c r="F23" s="350">
        <v>678</v>
      </c>
      <c r="G23" s="350">
        <v>348</v>
      </c>
      <c r="H23" s="181" t="s">
        <v>429</v>
      </c>
      <c r="I23" s="127" t="str">
        <f>IF(H23="","",VLOOKUP($H23,[1]구분표!$K$3:$M$151,2,FALSE))</f>
        <v>시설비 및 부대비</v>
      </c>
      <c r="J23" s="127" t="str">
        <f>IF(I23="","",VLOOKUP($H23,[1]구분표!$K$3:$M$151,3,FALSE))</f>
        <v>시설비</v>
      </c>
      <c r="K23" s="201" t="s">
        <v>2113</v>
      </c>
      <c r="L23" s="201" t="s">
        <v>2114</v>
      </c>
      <c r="M23" s="419">
        <v>2020000</v>
      </c>
      <c r="N23" s="419">
        <v>-1995250</v>
      </c>
      <c r="O23" s="421">
        <f t="shared" si="26"/>
        <v>24750</v>
      </c>
      <c r="P23" s="420">
        <v>1995250</v>
      </c>
      <c r="Q23" s="421">
        <f t="shared" si="16"/>
        <v>2020000</v>
      </c>
      <c r="R23" s="422"/>
      <c r="S23" s="423">
        <f t="shared" si="17"/>
        <v>24750</v>
      </c>
      <c r="T23" s="133" t="str">
        <f t="shared" si="32"/>
        <v>X</v>
      </c>
      <c r="U23" s="188"/>
      <c r="V23" s="296"/>
      <c r="W23" s="189"/>
      <c r="X23" s="190"/>
      <c r="Y23" s="188"/>
      <c r="Z23" s="190"/>
      <c r="AA23" s="188"/>
      <c r="AC23" s="447">
        <f t="shared" si="33"/>
        <v>1995250</v>
      </c>
      <c r="AD23" s="447">
        <f t="shared" si="7"/>
        <v>0</v>
      </c>
      <c r="AE23" s="447">
        <f t="shared" si="8"/>
        <v>0</v>
      </c>
      <c r="AF23" s="336" t="str">
        <f t="shared" si="34"/>
        <v>OK</v>
      </c>
      <c r="AG23" s="135"/>
      <c r="AH23" s="447">
        <f t="shared" si="10"/>
        <v>0</v>
      </c>
      <c r="AI23" s="447">
        <f t="shared" si="11"/>
        <v>0</v>
      </c>
      <c r="AJ23" s="447">
        <f t="shared" si="12"/>
        <v>0</v>
      </c>
      <c r="AK23" s="336" t="str">
        <f t="shared" si="13"/>
        <v/>
      </c>
      <c r="AL23" s="7"/>
      <c r="AM23" s="493"/>
      <c r="AN23" s="336" t="str">
        <f>IF($AM23="","", IF($AM23="세입없음", "OK",  IF(COUNTIF('[1]3. 일입'!$AN$8:$AN$2000,$AM23), "OK","@@")))</f>
        <v/>
      </c>
      <c r="AO23" s="320" t="str">
        <f t="shared" si="14"/>
        <v>자체</v>
      </c>
      <c r="AP23" s="336" t="str">
        <f t="shared" si="15"/>
        <v>OK</v>
      </c>
      <c r="AQ23" s="7"/>
      <c r="AR23" s="336" t="str">
        <f t="array" ref="AR23">IF(OR($D23="", $C23="직접입력", $B23="직접입력"), "", INDEX([1]구분표!$I$3:$I$321, MATCH(1,([1]구분표!$G$3:$G$321=$B23)*([1]구분표!$E$3:$E$321=$C23)*([1]구분표!$F$3:$F$321=$D23),0)))</f>
        <v>20707</v>
      </c>
    </row>
    <row r="24" spans="1:44" s="19" customFormat="1" ht="60" customHeight="1">
      <c r="A24" s="126">
        <f>IF(D24="","",COUNTA($C$7:C24)-COUNTBLANK($C$7:C24)+6)</f>
        <v>22</v>
      </c>
      <c r="B24" s="127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[1]구분표!$A$3:$C$258,2,))))))</f>
        <v>농정해양위원회</v>
      </c>
      <c r="C24" s="127" t="str">
        <f>IF(D24="","",IF(OR(D24="교육지원과",D24="총무과",D24="인사과"),"직접입력",VLOOKUP(D24,[1]구분표!$A$3:$C$258,3,)))</f>
        <v>기후환경에너지국</v>
      </c>
      <c r="D24" s="187" t="s">
        <v>945</v>
      </c>
      <c r="E24" s="181" t="s">
        <v>1694</v>
      </c>
      <c r="F24" s="350">
        <v>687</v>
      </c>
      <c r="G24" s="350">
        <v>29</v>
      </c>
      <c r="H24" s="181" t="s">
        <v>429</v>
      </c>
      <c r="I24" s="127" t="str">
        <f>IF(H24="","",VLOOKUP($H24,[1]구분표!$K$3:$M$151,2,FALSE))</f>
        <v>시설비 및 부대비</v>
      </c>
      <c r="J24" s="127" t="str">
        <f>IF(I24="","",VLOOKUP($H24,[1]구분표!$K$3:$M$151,3,FALSE))</f>
        <v>시설비</v>
      </c>
      <c r="K24" s="201" t="s">
        <v>2115</v>
      </c>
      <c r="L24" s="201" t="s">
        <v>2116</v>
      </c>
      <c r="M24" s="419">
        <v>800000</v>
      </c>
      <c r="N24" s="419">
        <v>-787247</v>
      </c>
      <c r="O24" s="421">
        <f t="shared" si="26"/>
        <v>12753</v>
      </c>
      <c r="P24" s="420">
        <v>787247</v>
      </c>
      <c r="Q24" s="421">
        <f t="shared" si="16"/>
        <v>800000</v>
      </c>
      <c r="R24" s="422"/>
      <c r="S24" s="423">
        <f t="shared" si="17"/>
        <v>12753</v>
      </c>
      <c r="T24" s="133" t="str">
        <f t="shared" si="32"/>
        <v>X</v>
      </c>
      <c r="U24" s="188"/>
      <c r="V24" s="296"/>
      <c r="W24" s="189"/>
      <c r="X24" s="190"/>
      <c r="Y24" s="188"/>
      <c r="Z24" s="190"/>
      <c r="AA24" s="188"/>
      <c r="AC24" s="447">
        <f t="shared" si="33"/>
        <v>787247</v>
      </c>
      <c r="AD24" s="447">
        <f t="shared" si="7"/>
        <v>0</v>
      </c>
      <c r="AE24" s="447">
        <f t="shared" si="8"/>
        <v>0</v>
      </c>
      <c r="AF24" s="336" t="str">
        <f t="shared" si="34"/>
        <v>OK</v>
      </c>
      <c r="AG24" s="135"/>
      <c r="AH24" s="447">
        <f t="shared" si="10"/>
        <v>0</v>
      </c>
      <c r="AI24" s="447">
        <f t="shared" si="11"/>
        <v>0</v>
      </c>
      <c r="AJ24" s="447">
        <f t="shared" si="12"/>
        <v>0</v>
      </c>
      <c r="AK24" s="336" t="str">
        <f t="shared" si="13"/>
        <v/>
      </c>
      <c r="AL24" s="7"/>
      <c r="AM24" s="493"/>
      <c r="AN24" s="336" t="str">
        <f>IF($AM24="","", IF($AM24="세입없음", "OK",  IF(COUNTIF('[1]3. 일입'!$AN$8:$AN$2000,$AM24), "OK","@@")))</f>
        <v/>
      </c>
      <c r="AO24" s="320" t="str">
        <f t="shared" si="14"/>
        <v>자체</v>
      </c>
      <c r="AP24" s="336" t="str">
        <f t="shared" si="15"/>
        <v>OK</v>
      </c>
      <c r="AQ24" s="7"/>
      <c r="AR24" s="336" t="str">
        <f t="array" ref="AR24">IF(OR($D24="", $C24="직접입력", $B24="직접입력"), "", INDEX([1]구분표!$I$3:$I$321, MATCH(1,([1]구분표!$G$3:$G$321=$B24)*([1]구분표!$E$3:$E$321=$C24)*([1]구분표!$F$3:$F$321=$D24),0)))</f>
        <v>30408</v>
      </c>
    </row>
    <row r="25" spans="1:44" s="19" customFormat="1" ht="60" customHeight="1">
      <c r="A25" s="126">
        <f>IF(D25="","",COUNTA($C$7:C25)-COUNTBLANK($C$7:C25)+6)</f>
        <v>23</v>
      </c>
      <c r="B25" s="127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[1]구분표!$A$3:$C$258,2,))))))</f>
        <v>농정해양위원회</v>
      </c>
      <c r="C25" s="127" t="str">
        <f>IF(D25="","",IF(OR(D25="교육지원과",D25="총무과",D25="인사과"),"직접입력",VLOOKUP(D25,[1]구분표!$A$3:$C$258,3,)))</f>
        <v>농업기술원</v>
      </c>
      <c r="D25" s="187" t="s">
        <v>176</v>
      </c>
      <c r="E25" s="181" t="s">
        <v>2124</v>
      </c>
      <c r="F25" s="350">
        <v>714</v>
      </c>
      <c r="G25" s="350">
        <v>205</v>
      </c>
      <c r="H25" s="181" t="s">
        <v>389</v>
      </c>
      <c r="I25" s="127" t="str">
        <f>IF(H25="","",VLOOKUP($H25,[1]구분표!$K$3:$M$151,2,FALSE))</f>
        <v>민간이전</v>
      </c>
      <c r="J25" s="127" t="str">
        <f>IF(I25="","",VLOOKUP($H25,[1]구분표!$K$3:$M$151,3,FALSE))</f>
        <v>민간경상사업보조</v>
      </c>
      <c r="K25" s="201" t="s">
        <v>2125</v>
      </c>
      <c r="L25" s="201" t="s">
        <v>2126</v>
      </c>
      <c r="M25" s="419">
        <v>150000</v>
      </c>
      <c r="N25" s="419">
        <v>-135000</v>
      </c>
      <c r="O25" s="421">
        <f t="shared" si="26"/>
        <v>15000</v>
      </c>
      <c r="P25" s="420">
        <v>135000</v>
      </c>
      <c r="Q25" s="421">
        <f t="shared" si="16"/>
        <v>150000</v>
      </c>
      <c r="R25" s="422"/>
      <c r="S25" s="423">
        <f t="shared" si="17"/>
        <v>15000</v>
      </c>
      <c r="T25" s="133" t="str">
        <f t="shared" si="32"/>
        <v>X</v>
      </c>
      <c r="U25" s="188"/>
      <c r="V25" s="296"/>
      <c r="W25" s="189"/>
      <c r="X25" s="190"/>
      <c r="Y25" s="188"/>
      <c r="Z25" s="190"/>
      <c r="AA25" s="188"/>
      <c r="AC25" s="447">
        <f t="shared" si="33"/>
        <v>135000</v>
      </c>
      <c r="AD25" s="447">
        <f t="shared" si="7"/>
        <v>0</v>
      </c>
      <c r="AE25" s="447">
        <f t="shared" si="8"/>
        <v>0</v>
      </c>
      <c r="AF25" s="336" t="str">
        <f t="shared" si="34"/>
        <v>OK</v>
      </c>
      <c r="AG25" s="135"/>
      <c r="AH25" s="447">
        <f t="shared" si="10"/>
        <v>0</v>
      </c>
      <c r="AI25" s="447">
        <f t="shared" si="11"/>
        <v>0</v>
      </c>
      <c r="AJ25" s="447">
        <f t="shared" si="12"/>
        <v>0</v>
      </c>
      <c r="AK25" s="336" t="str">
        <f t="shared" si="13"/>
        <v/>
      </c>
      <c r="AL25" s="7"/>
      <c r="AM25" s="493"/>
      <c r="AN25" s="336" t="str">
        <f>IF($AM25="","", IF($AM25="세입없음", "OK",  IF(COUNTIF('[1]3. 일입'!$AN$8:$AN$2000,$AM25), "OK","@@")))</f>
        <v/>
      </c>
      <c r="AO25" s="320" t="str">
        <f t="shared" si="14"/>
        <v>자체</v>
      </c>
      <c r="AP25" s="336" t="str">
        <f t="shared" si="15"/>
        <v>OK</v>
      </c>
      <c r="AQ25" s="7"/>
      <c r="AR25" s="336" t="str">
        <f t="array" ref="AR25">IF(OR($D25="", $C25="직접입력", $B25="직접입력"), "", INDEX([1]구분표!$I$3:$I$321, MATCH(1,([1]구분표!$G$3:$G$321=$B25)*([1]구분표!$E$3:$E$321=$C25)*([1]구분표!$F$3:$F$321=$D25),0)))</f>
        <v>50208</v>
      </c>
    </row>
    <row r="26" spans="1:44" s="19" customFormat="1" ht="60" customHeight="1">
      <c r="A26" s="126">
        <f>IF(D26="","",COUNTA($C$7:C26)-COUNTBLANK($C$7:C26)+6)</f>
        <v>24</v>
      </c>
      <c r="B26" s="127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[1]구분표!$A$3:$C$258,2,))))))</f>
        <v>농정해양위원회</v>
      </c>
      <c r="C26" s="127" t="str">
        <f>IF(D26="","",IF(OR(D26="교육지원과",D26="총무과",D26="인사과"),"직접입력",VLOOKUP(D26,[1]구분표!$A$3:$C$258,3,)))</f>
        <v>농업기술원</v>
      </c>
      <c r="D26" s="187" t="s">
        <v>176</v>
      </c>
      <c r="E26" s="181" t="s">
        <v>2124</v>
      </c>
      <c r="F26" s="350">
        <v>714</v>
      </c>
      <c r="G26" s="350">
        <v>208</v>
      </c>
      <c r="H26" s="181" t="s">
        <v>2129</v>
      </c>
      <c r="I26" s="127" t="str">
        <f>IF(H26="","",VLOOKUP($H26,[1]구분표!$K$3:$M$151,2,FALSE))</f>
        <v>일반운영비</v>
      </c>
      <c r="J26" s="127" t="str">
        <f>IF(I26="","",VLOOKUP($H26,[1]구분표!$K$3:$M$151,3,FALSE))</f>
        <v>사무관리비</v>
      </c>
      <c r="K26" s="201" t="s">
        <v>2127</v>
      </c>
      <c r="L26" s="201" t="s">
        <v>2128</v>
      </c>
      <c r="M26" s="419">
        <v>6000</v>
      </c>
      <c r="N26" s="419">
        <v>-3000</v>
      </c>
      <c r="O26" s="421">
        <f t="shared" si="26"/>
        <v>3000</v>
      </c>
      <c r="P26" s="420">
        <v>3000</v>
      </c>
      <c r="Q26" s="421">
        <f t="shared" si="16"/>
        <v>6000</v>
      </c>
      <c r="R26" s="422"/>
      <c r="S26" s="423">
        <f t="shared" si="17"/>
        <v>3000</v>
      </c>
      <c r="T26" s="133" t="str">
        <f t="shared" si="32"/>
        <v>X</v>
      </c>
      <c r="U26" s="188"/>
      <c r="V26" s="296"/>
      <c r="W26" s="189"/>
      <c r="X26" s="190"/>
      <c r="Y26" s="188"/>
      <c r="Z26" s="190"/>
      <c r="AA26" s="188"/>
      <c r="AC26" s="447">
        <f t="shared" si="33"/>
        <v>3000</v>
      </c>
      <c r="AD26" s="447">
        <f t="shared" si="7"/>
        <v>0</v>
      </c>
      <c r="AE26" s="447">
        <f t="shared" si="8"/>
        <v>0</v>
      </c>
      <c r="AF26" s="336" t="str">
        <f t="shared" si="34"/>
        <v>OK</v>
      </c>
      <c r="AG26" s="135"/>
      <c r="AH26" s="447">
        <f t="shared" si="10"/>
        <v>0</v>
      </c>
      <c r="AI26" s="447">
        <f t="shared" si="11"/>
        <v>0</v>
      </c>
      <c r="AJ26" s="447">
        <f t="shared" si="12"/>
        <v>0</v>
      </c>
      <c r="AK26" s="336" t="str">
        <f t="shared" si="13"/>
        <v/>
      </c>
      <c r="AL26" s="7"/>
      <c r="AM26" s="493"/>
      <c r="AN26" s="336" t="str">
        <f>IF($AM26="","", IF($AM26="세입없음", "OK",  IF(COUNTIF('[1]3. 일입'!$AN$8:$AN$2000,$AM26), "OK","@@")))</f>
        <v/>
      </c>
      <c r="AO26" s="320" t="str">
        <f t="shared" si="14"/>
        <v>자체</v>
      </c>
      <c r="AP26" s="336" t="str">
        <f t="shared" si="15"/>
        <v>OK</v>
      </c>
      <c r="AQ26" s="7"/>
      <c r="AR26" s="336" t="str">
        <f t="array" ref="AR26">IF(OR($D26="", $C26="직접입력", $B26="직접입력"), "", INDEX([1]구분표!$I$3:$I$321, MATCH(1,([1]구분표!$G$3:$G$321=$B26)*([1]구분표!$E$3:$E$321=$C26)*([1]구분표!$F$3:$F$321=$D26),0)))</f>
        <v>50208</v>
      </c>
    </row>
    <row r="27" spans="1:44" s="19" customFormat="1" ht="60" customHeight="1">
      <c r="A27" s="126">
        <f>IF(D27="","",COUNTA($C$7:C27)-COUNTBLANK($C$7:C27)+6)</f>
        <v>25</v>
      </c>
      <c r="B27" s="127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[1]구분표!$A$3:$C$258,2,))))))</f>
        <v>농정해양위원회</v>
      </c>
      <c r="C27" s="127" t="str">
        <f>IF(D27="","",IF(OR(D27="교육지원과",D27="총무과",D27="인사과"),"직접입력",VLOOKUP(D27,[1]구분표!$A$3:$C$258,3,)))</f>
        <v>농업기술원</v>
      </c>
      <c r="D27" s="187" t="s">
        <v>176</v>
      </c>
      <c r="E27" s="181" t="s">
        <v>2124</v>
      </c>
      <c r="F27" s="350">
        <v>714</v>
      </c>
      <c r="G27" s="350">
        <v>208</v>
      </c>
      <c r="H27" s="181" t="s">
        <v>309</v>
      </c>
      <c r="I27" s="127" t="str">
        <f>IF(H27="","",VLOOKUP($H27,[1]구분표!$K$3:$M$151,2,FALSE))</f>
        <v>일반운영비</v>
      </c>
      <c r="J27" s="127" t="str">
        <f>IF(I27="","",VLOOKUP($H27,[1]구분표!$K$3:$M$151,3,FALSE))</f>
        <v>행사운영비</v>
      </c>
      <c r="K27" s="201" t="s">
        <v>2127</v>
      </c>
      <c r="L27" s="201" t="s">
        <v>2128</v>
      </c>
      <c r="M27" s="419">
        <v>32000</v>
      </c>
      <c r="N27" s="419">
        <v>-9000</v>
      </c>
      <c r="O27" s="421">
        <f t="shared" si="26"/>
        <v>23000</v>
      </c>
      <c r="P27" s="420">
        <v>9000</v>
      </c>
      <c r="Q27" s="421">
        <f t="shared" si="16"/>
        <v>32000</v>
      </c>
      <c r="R27" s="422"/>
      <c r="S27" s="423">
        <f t="shared" si="17"/>
        <v>23000</v>
      </c>
      <c r="T27" s="133" t="str">
        <f t="shared" si="32"/>
        <v>X</v>
      </c>
      <c r="U27" s="188"/>
      <c r="V27" s="296"/>
      <c r="W27" s="189"/>
      <c r="X27" s="190"/>
      <c r="Y27" s="188"/>
      <c r="Z27" s="190"/>
      <c r="AA27" s="188"/>
      <c r="AC27" s="447">
        <f t="shared" si="33"/>
        <v>9000</v>
      </c>
      <c r="AD27" s="447">
        <f t="shared" si="7"/>
        <v>0</v>
      </c>
      <c r="AE27" s="447">
        <f t="shared" si="8"/>
        <v>0</v>
      </c>
      <c r="AF27" s="336" t="str">
        <f t="shared" si="34"/>
        <v>OK</v>
      </c>
      <c r="AG27" s="135"/>
      <c r="AH27" s="447">
        <f t="shared" si="10"/>
        <v>0</v>
      </c>
      <c r="AI27" s="447">
        <f t="shared" si="11"/>
        <v>0</v>
      </c>
      <c r="AJ27" s="447">
        <f t="shared" si="12"/>
        <v>0</v>
      </c>
      <c r="AK27" s="336" t="str">
        <f t="shared" si="13"/>
        <v/>
      </c>
      <c r="AL27" s="7"/>
      <c r="AM27" s="493"/>
      <c r="AN27" s="336" t="str">
        <f>IF($AM27="","", IF($AM27="세입없음", "OK",  IF(COUNTIF('[1]3. 일입'!$AN$8:$AN$2000,$AM27), "OK","@@")))</f>
        <v/>
      </c>
      <c r="AO27" s="320" t="str">
        <f t="shared" si="14"/>
        <v>자체</v>
      </c>
      <c r="AP27" s="336" t="str">
        <f t="shared" si="15"/>
        <v>OK</v>
      </c>
      <c r="AQ27" s="7"/>
      <c r="AR27" s="336" t="str">
        <f t="array" ref="AR27">IF(OR($D27="", $C27="직접입력", $B27="직접입력"), "", INDEX([1]구분표!$I$3:$I$321, MATCH(1,([1]구분표!$G$3:$G$321=$B27)*([1]구분표!$E$3:$E$321=$C27)*([1]구분표!$F$3:$F$321=$D27),0)))</f>
        <v>50208</v>
      </c>
    </row>
    <row r="28" spans="1:44" ht="60" customHeight="1"/>
  </sheetData>
  <sheetProtection formatCells="0" autoFilter="0"/>
  <autoFilter ref="A6:AS27" xr:uid="{8567F514-6F69-4026-A162-E8831BFD71BB}"/>
  <mergeCells count="46">
    <mergeCell ref="Z3:Z5"/>
    <mergeCell ref="X3:X5"/>
    <mergeCell ref="Y3:Y5"/>
    <mergeCell ref="G3:G5"/>
    <mergeCell ref="O3:O5"/>
    <mergeCell ref="I3:I5"/>
    <mergeCell ref="J3:J5"/>
    <mergeCell ref="H3:H5"/>
    <mergeCell ref="K3:K5"/>
    <mergeCell ref="M3:M5"/>
    <mergeCell ref="N3:N5"/>
    <mergeCell ref="L3:L5"/>
    <mergeCell ref="F3:F5"/>
    <mergeCell ref="Q3:Q5"/>
    <mergeCell ref="U3:U5"/>
    <mergeCell ref="V3:V5"/>
    <mergeCell ref="S3:S5"/>
    <mergeCell ref="T3:T5"/>
    <mergeCell ref="A3:A5"/>
    <mergeCell ref="B3:B5"/>
    <mergeCell ref="C3:C5"/>
    <mergeCell ref="D3:D5"/>
    <mergeCell ref="E3:E5"/>
    <mergeCell ref="B7:G7"/>
    <mergeCell ref="AC1:AF1"/>
    <mergeCell ref="AC3:AF3"/>
    <mergeCell ref="AH1:AK1"/>
    <mergeCell ref="AH3:AK3"/>
    <mergeCell ref="AF4:AF5"/>
    <mergeCell ref="AC4:AE4"/>
    <mergeCell ref="AK4:AK5"/>
    <mergeCell ref="AH4:AJ4"/>
    <mergeCell ref="Y2:AA2"/>
    <mergeCell ref="AA3:AA5"/>
    <mergeCell ref="W3:W5"/>
    <mergeCell ref="P3:P5"/>
    <mergeCell ref="R3:R5"/>
    <mergeCell ref="A1:AA1"/>
    <mergeCell ref="B2:L2"/>
    <mergeCell ref="AM1:AP1"/>
    <mergeCell ref="AR3:AR5"/>
    <mergeCell ref="AM3:AP3"/>
    <mergeCell ref="AM4:AM5"/>
    <mergeCell ref="AO4:AO5"/>
    <mergeCell ref="AP4:AP5"/>
    <mergeCell ref="AN4:AN5"/>
  </mergeCells>
  <phoneticPr fontId="1" type="noConversion"/>
  <conditionalFormatting sqref="F1:G2 F6:G10 F12:G1048576">
    <cfRule type="containsText" dxfId="888" priority="3316" operator="containsText" text="직접입력">
      <formula>NOT(ISERROR(SEARCH("직접입력",F1)))</formula>
    </cfRule>
  </conditionalFormatting>
  <conditionalFormatting sqref="O1:O2 O28:O1048576 M6:O6">
    <cfRule type="containsText" dxfId="887" priority="3315" operator="containsText" text="금액입력">
      <formula>NOT(ISERROR(SEARCH("금액입력",M1)))</formula>
    </cfRule>
  </conditionalFormatting>
  <conditionalFormatting sqref="K1:K6 K8:K10 K12:K1048576">
    <cfRule type="containsText" dxfId="886" priority="3314" operator="containsText" text="세부사업명 입력">
      <formula>NOT(ISERROR(SEARCH("세부사업명 입력",K1)))</formula>
    </cfRule>
  </conditionalFormatting>
  <conditionalFormatting sqref="L1:N2 L28:N1048576 L3:L6 L8:M10 L12:M27">
    <cfRule type="containsText" dxfId="885" priority="3313" operator="containsText" text="부기명 입력">
      <formula>NOT(ISERROR(SEARCH("부기명 입력",L1)))</formula>
    </cfRule>
  </conditionalFormatting>
  <conditionalFormatting sqref="AD8:AD10 AD12:AD1834">
    <cfRule type="expression" dxfId="884" priority="3308">
      <formula>FIND("(지방채)",$L8)&gt;0</formula>
    </cfRule>
  </conditionalFormatting>
  <conditionalFormatting sqref="AE8:AE10 AE12:AE1834">
    <cfRule type="expression" dxfId="883" priority="3307">
      <formula>FIND("(지역개발기금)",$L8)&gt;0</formula>
    </cfRule>
  </conditionalFormatting>
  <conditionalFormatting sqref="AI8:AI10 AI12:AI1834">
    <cfRule type="expression" dxfId="882" priority="3306">
      <formula>FIND("(지방채)",$L8)&gt;0</formula>
    </cfRule>
  </conditionalFormatting>
  <conditionalFormatting sqref="AJ8:AJ10 AJ12:AJ1834">
    <cfRule type="expression" dxfId="881" priority="3305">
      <formula>FIND("(지역개발기금)",$L8)&gt;0</formula>
    </cfRule>
  </conditionalFormatting>
  <conditionalFormatting sqref="AM8:AM10 AM12:AM1834">
    <cfRule type="expression" dxfId="880" priority="3303">
      <formula>FIND("(지역개발기금)",$L8)&gt;0</formula>
    </cfRule>
  </conditionalFormatting>
  <conditionalFormatting sqref="AC1:AC6 AH1:AH6 AC8:AC10 AH8:AH10 AH12:AH1048576 AC12:AC1048576">
    <cfRule type="containsText" dxfId="879" priority="3302" operator="containsText" text="입력필요">
      <formula>NOT(ISERROR(SEARCH("입력필요",AC1)))</formula>
    </cfRule>
  </conditionalFormatting>
  <conditionalFormatting sqref="M8:O10 M12:O27">
    <cfRule type="containsText" dxfId="878" priority="2674" operator="containsText" text="금액입력">
      <formula>NOT(ISERROR(SEARCH("금액입력",M8)))</formula>
    </cfRule>
  </conditionalFormatting>
  <conditionalFormatting sqref="K7">
    <cfRule type="containsText" dxfId="877" priority="2524" operator="containsText" text="세부사업명 입력">
      <formula>NOT(ISERROR(SEARCH("세부사업명 입력",K7)))</formula>
    </cfRule>
  </conditionalFormatting>
  <conditionalFormatting sqref="L7">
    <cfRule type="containsText" dxfId="876" priority="2523" operator="containsText" text="부기명 입력">
      <formula>NOT(ISERROR(SEARCH("부기명 입력",L7)))</formula>
    </cfRule>
  </conditionalFormatting>
  <conditionalFormatting sqref="O7:S7">
    <cfRule type="containsText" dxfId="875" priority="2502" operator="containsText" text="금액입력">
      <formula>NOT(ISERROR(SEARCH("금액입력",O7)))</formula>
    </cfRule>
  </conditionalFormatting>
  <conditionalFormatting sqref="F3:G5">
    <cfRule type="containsText" dxfId="874" priority="2329" operator="containsText" text="직접입력">
      <formula>NOT(ISERROR(SEARCH("직접입력",F3)))</formula>
    </cfRule>
  </conditionalFormatting>
  <conditionalFormatting sqref="O3:O5">
    <cfRule type="containsText" dxfId="873" priority="2325" operator="containsText" text="금액입력">
      <formula>NOT(ISERROR(SEARCH("금액입력",O3)))</formula>
    </cfRule>
  </conditionalFormatting>
  <conditionalFormatting sqref="AF6 AF8:AF10 AN8:AN10 AP8:AP10 AK8:AK10 AK12:AK27 AP12:AP27 AN12:AN27 AF12:AF27">
    <cfRule type="containsText" dxfId="872" priority="1445" operator="containsText" text="@@">
      <formula>NOT(ISERROR(SEARCH("@@",AF6)))</formula>
    </cfRule>
  </conditionalFormatting>
  <conditionalFormatting sqref="AP6">
    <cfRule type="containsText" dxfId="871" priority="1443" operator="containsText" text="@@">
      <formula>NOT(ISERROR(SEARCH("@@",AP6)))</formula>
    </cfRule>
  </conditionalFormatting>
  <conditionalFormatting sqref="AK6">
    <cfRule type="containsText" dxfId="870" priority="1257" operator="containsText" text="@@">
      <formula>NOT(ISERROR(SEARCH("@@",AK6)))</formula>
    </cfRule>
  </conditionalFormatting>
  <conditionalFormatting sqref="AN6">
    <cfRule type="containsText" dxfId="869" priority="1256" operator="containsText" text="@@">
      <formula>NOT(ISERROR(SEARCH("@@",AN6)))</formula>
    </cfRule>
  </conditionalFormatting>
  <conditionalFormatting sqref="AC8:AC10 AC12:AC27">
    <cfRule type="containsText" dxfId="868" priority="1249" operator="containsText" text="국비입력필요">
      <formula>NOT(ISERROR(SEARCH("국비입력필요",AC8)))</formula>
    </cfRule>
  </conditionalFormatting>
  <conditionalFormatting sqref="AC7 AH7">
    <cfRule type="containsText" dxfId="867" priority="797" operator="containsText" text="입력필요">
      <formula>NOT(ISERROR(SEARCH("입력필요",AC7)))</formula>
    </cfRule>
  </conditionalFormatting>
  <conditionalFormatting sqref="M3:M5">
    <cfRule type="containsText" dxfId="866" priority="617" operator="containsText" text="금액입력">
      <formula>NOT(ISERROR(SEARCH("금액입력",M3)))</formula>
    </cfRule>
  </conditionalFormatting>
  <conditionalFormatting sqref="N3:N5">
    <cfRule type="containsText" dxfId="865" priority="616" operator="containsText" text="금액입력">
      <formula>NOT(ISERROR(SEARCH("금액입력",N3)))</formula>
    </cfRule>
  </conditionalFormatting>
  <conditionalFormatting sqref="AM8:AM10 AM12:AM27">
    <cfRule type="expression" dxfId="864" priority="2315">
      <formula>FIND("(지역개발기금)",$L8)&gt;0</formula>
    </cfRule>
    <cfRule type="expression" dxfId="863" priority="2316">
      <formula>FIND("(지방채)",$L8)&gt;0</formula>
    </cfRule>
  </conditionalFormatting>
  <conditionalFormatting sqref="M7:N7">
    <cfRule type="containsText" dxfId="862" priority="367" operator="containsText" text="금액입력">
      <formula>NOT(ISERROR(SEARCH("금액입력",M7)))</formula>
    </cfRule>
  </conditionalFormatting>
  <conditionalFormatting sqref="B8:C10 B12:C27">
    <cfRule type="containsText" dxfId="861" priority="308" operator="containsText" text="직접입력">
      <formula>NOT(ISERROR(SEARCH("직접입력",B8)))</formula>
    </cfRule>
  </conditionalFormatting>
  <conditionalFormatting sqref="F11:G11">
    <cfRule type="containsText" dxfId="860" priority="15" operator="containsText" text="직접입력">
      <formula>NOT(ISERROR(SEARCH("직접입력",F11)))</formula>
    </cfRule>
  </conditionalFormatting>
  <conditionalFormatting sqref="K11">
    <cfRule type="containsText" dxfId="859" priority="14" operator="containsText" text="세부사업명 입력">
      <formula>NOT(ISERROR(SEARCH("세부사업명 입력",K11)))</formula>
    </cfRule>
  </conditionalFormatting>
  <conditionalFormatting sqref="L11:M11">
    <cfRule type="containsText" dxfId="858" priority="13" operator="containsText" text="부기명 입력">
      <formula>NOT(ISERROR(SEARCH("부기명 입력",L11)))</formula>
    </cfRule>
  </conditionalFormatting>
  <conditionalFormatting sqref="AD11">
    <cfRule type="expression" dxfId="857" priority="12">
      <formula>FIND("(지방채)",$L11)&gt;0</formula>
    </cfRule>
  </conditionalFormatting>
  <conditionalFormatting sqref="AE11">
    <cfRule type="expression" dxfId="856" priority="11">
      <formula>FIND("(지역개발기금)",$L11)&gt;0</formula>
    </cfRule>
  </conditionalFormatting>
  <conditionalFormatting sqref="AI11">
    <cfRule type="expression" dxfId="855" priority="10">
      <formula>FIND("(지방채)",$L11)&gt;0</formula>
    </cfRule>
  </conditionalFormatting>
  <conditionalFormatting sqref="AJ11">
    <cfRule type="expression" dxfId="854" priority="9">
      <formula>FIND("(지역개발기금)",$L11)&gt;0</formula>
    </cfRule>
  </conditionalFormatting>
  <conditionalFormatting sqref="AM11">
    <cfRule type="expression" dxfId="853" priority="8">
      <formula>FIND("(지역개발기금)",$L11)&gt;0</formula>
    </cfRule>
  </conditionalFormatting>
  <conditionalFormatting sqref="AC11 AH11">
    <cfRule type="containsText" dxfId="852" priority="7" operator="containsText" text="입력필요">
      <formula>NOT(ISERROR(SEARCH("입력필요",AC11)))</formula>
    </cfRule>
  </conditionalFormatting>
  <conditionalFormatting sqref="M11:O11">
    <cfRule type="containsText" dxfId="851" priority="6" operator="containsText" text="금액입력">
      <formula>NOT(ISERROR(SEARCH("금액입력",M11)))</formula>
    </cfRule>
  </conditionalFormatting>
  <conditionalFormatting sqref="AF11 AN11 AP11 AK11">
    <cfRule type="containsText" dxfId="850" priority="3" operator="containsText" text="@@">
      <formula>NOT(ISERROR(SEARCH("@@",AF11)))</formula>
    </cfRule>
  </conditionalFormatting>
  <conditionalFormatting sqref="AC11">
    <cfRule type="containsText" dxfId="849" priority="2" operator="containsText" text="국비입력필요">
      <formula>NOT(ISERROR(SEARCH("국비입력필요",AC11)))</formula>
    </cfRule>
  </conditionalFormatting>
  <conditionalFormatting sqref="AM11">
    <cfRule type="expression" dxfId="848" priority="4">
      <formula>FIND("(지역개발기금)",$L11)&gt;0</formula>
    </cfRule>
    <cfRule type="expression" dxfId="847" priority="5">
      <formula>FIND("(지방채)",$L11)&gt;0</formula>
    </cfRule>
  </conditionalFormatting>
  <conditionalFormatting sqref="B11:C11">
    <cfRule type="containsText" dxfId="846" priority="1" operator="containsText" text="직접입력">
      <formula>NOT(ISERROR(SEARCH("직접입력",B11)))</formula>
    </cfRule>
  </conditionalFormatting>
  <dataValidations count="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8:W27" xr:uid="{00000000-0002-0000-0500-000002000000}">
      <formula1>"동의, 부동의, 미실시"</formula1>
    </dataValidation>
    <dataValidation type="custom" allowBlank="1" showInputMessage="1" showErrorMessage="1" sqref="B8:B27" xr:uid="{87EAC1CD-8558-422A-A078-D0A8F2E55D40}">
      <formula1>"농정해양위원회"</formula1>
    </dataValidation>
    <dataValidation type="list" allowBlank="1" showInputMessage="1" showErrorMessage="1" sqref="E8:E27" xr:uid="{B255C1E4-99E6-4674-8725-C6D1A9F6E824}">
      <formula1>"본예산, 1추, 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0" fitToHeight="0" orientation="landscape" r:id="rId1"/>
  <headerFooter>
    <oddFooter>&amp;C&amp;P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24"/>
  <sheetViews>
    <sheetView view="pageBreakPreview" zoomScale="55" zoomScaleNormal="40" zoomScaleSheetLayoutView="55" workbookViewId="0">
      <pane ySplit="6" topLeftCell="A7" activePane="bottomLeft" state="frozen"/>
      <selection sqref="A1:W1"/>
      <selection pane="bottomLeft" activeCell="F10" sqref="F10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11" customWidth="1"/>
    <col min="13" max="14" width="25.625" style="411" customWidth="1"/>
    <col min="15" max="18" width="25.625" style="414" customWidth="1"/>
    <col min="19" max="19" width="25.625" style="438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14" customWidth="1"/>
    <col min="32" max="32" width="25.625" style="20" customWidth="1"/>
    <col min="33" max="33" width="3" style="20" customWidth="1"/>
    <col min="34" max="37" width="20.625" style="414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926" t="s">
        <v>1043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  <c r="AB1" s="949" t="s">
        <v>1100</v>
      </c>
      <c r="AC1" s="950"/>
      <c r="AD1" s="950"/>
      <c r="AE1" s="951"/>
      <c r="AH1" s="946" t="s">
        <v>1100</v>
      </c>
      <c r="AI1" s="947"/>
      <c r="AJ1" s="947"/>
      <c r="AK1" s="948"/>
      <c r="AN1" s="909" t="s">
        <v>1118</v>
      </c>
      <c r="AO1" s="910"/>
      <c r="AP1" s="910"/>
      <c r="AQ1" s="911"/>
      <c r="AS1" s="909" t="s">
        <v>1119</v>
      </c>
      <c r="AT1" s="910"/>
      <c r="AU1" s="910"/>
      <c r="AV1" s="911"/>
    </row>
    <row r="2" spans="1:51" ht="39.75" customHeight="1"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505"/>
      <c r="N2" s="505"/>
      <c r="O2" s="415"/>
      <c r="P2" s="433">
        <f>SUM(P7:P88)/2</f>
        <v>2662195</v>
      </c>
      <c r="Q2" s="433">
        <f>SUM(Q7:Q88)/2</f>
        <v>29190292</v>
      </c>
      <c r="R2" s="433">
        <f>SUM(R7:R88)/2</f>
        <v>0</v>
      </c>
      <c r="S2" s="433">
        <f>SUM(S7:S88)/2</f>
        <v>26528097</v>
      </c>
      <c r="T2" s="73"/>
      <c r="V2" s="30"/>
      <c r="W2" s="34" t="s">
        <v>297</v>
      </c>
      <c r="X2" s="34"/>
      <c r="Y2" s="925" t="s">
        <v>114</v>
      </c>
      <c r="Z2" s="925"/>
      <c r="AB2" s="452" t="str">
        <f>IF(AB6='3. 일입'!AA7,"OK","@@")</f>
        <v>OK</v>
      </c>
      <c r="AC2" s="428"/>
      <c r="AD2" s="428"/>
      <c r="AE2" s="444"/>
      <c r="AF2" s="346" t="s">
        <v>1073</v>
      </c>
      <c r="AH2" s="452" t="str">
        <f>IF(AH6='3. 일입'!AF7,"OK","@@")</f>
        <v>OK</v>
      </c>
      <c r="AI2" s="428"/>
      <c r="AJ2" s="428"/>
      <c r="AK2" s="428"/>
      <c r="AL2" s="346" t="s">
        <v>1073</v>
      </c>
      <c r="AN2" s="22"/>
      <c r="AO2" s="23"/>
      <c r="AP2" s="298"/>
      <c r="AQ2" s="346" t="s">
        <v>1073</v>
      </c>
      <c r="AS2" s="22"/>
      <c r="AT2" s="23"/>
      <c r="AU2" s="22"/>
      <c r="AV2" s="346" t="s">
        <v>1073</v>
      </c>
    </row>
    <row r="3" spans="1:51" s="294" customFormat="1" ht="39.950000000000003" customHeight="1">
      <c r="A3" s="885" t="s">
        <v>184</v>
      </c>
      <c r="B3" s="889" t="s">
        <v>110</v>
      </c>
      <c r="C3" s="889" t="s">
        <v>111</v>
      </c>
      <c r="D3" s="889" t="s">
        <v>112</v>
      </c>
      <c r="E3" s="891" t="s">
        <v>113</v>
      </c>
      <c r="F3" s="891" t="s">
        <v>1117</v>
      </c>
      <c r="G3" s="891" t="s">
        <v>251</v>
      </c>
      <c r="H3" s="931" t="s">
        <v>1116</v>
      </c>
      <c r="I3" s="931" t="s">
        <v>269</v>
      </c>
      <c r="J3" s="931" t="s">
        <v>270</v>
      </c>
      <c r="K3" s="934" t="s">
        <v>759</v>
      </c>
      <c r="L3" s="934" t="s">
        <v>504</v>
      </c>
      <c r="M3" s="887" t="s">
        <v>2040</v>
      </c>
      <c r="N3" s="887" t="s">
        <v>1693</v>
      </c>
      <c r="O3" s="887" t="s">
        <v>1109</v>
      </c>
      <c r="P3" s="867" t="s">
        <v>1110</v>
      </c>
      <c r="Q3" s="866" t="s">
        <v>1113</v>
      </c>
      <c r="R3" s="867" t="s">
        <v>1111</v>
      </c>
      <c r="S3" s="866" t="s">
        <v>1112</v>
      </c>
      <c r="T3" s="893" t="s">
        <v>258</v>
      </c>
      <c r="U3" s="939" t="s">
        <v>255</v>
      </c>
      <c r="V3" s="866" t="s">
        <v>254</v>
      </c>
      <c r="W3" s="866" t="s">
        <v>256</v>
      </c>
      <c r="X3" s="893" t="s">
        <v>257</v>
      </c>
      <c r="Y3" s="893" t="s">
        <v>298</v>
      </c>
      <c r="Z3" s="867" t="s">
        <v>267</v>
      </c>
      <c r="AB3" s="935" t="s">
        <v>117</v>
      </c>
      <c r="AC3" s="936"/>
      <c r="AD3" s="936"/>
      <c r="AE3" s="935"/>
      <c r="AF3" s="936"/>
      <c r="AH3" s="937" t="s">
        <v>121</v>
      </c>
      <c r="AI3" s="938"/>
      <c r="AJ3" s="938"/>
      <c r="AK3" s="937"/>
      <c r="AL3" s="937"/>
      <c r="AN3" s="940" t="s">
        <v>1086</v>
      </c>
      <c r="AO3" s="941"/>
      <c r="AP3" s="941"/>
      <c r="AQ3" s="942"/>
      <c r="AS3" s="943" t="s">
        <v>1085</v>
      </c>
      <c r="AT3" s="944"/>
      <c r="AU3" s="944"/>
      <c r="AV3" s="945"/>
      <c r="AX3" s="878" t="s">
        <v>123</v>
      </c>
    </row>
    <row r="4" spans="1:51" s="294" customFormat="1" ht="39.950000000000003" customHeight="1">
      <c r="A4" s="885"/>
      <c r="B4" s="889"/>
      <c r="C4" s="889"/>
      <c r="D4" s="889"/>
      <c r="E4" s="891"/>
      <c r="F4" s="891"/>
      <c r="G4" s="891"/>
      <c r="H4" s="932"/>
      <c r="I4" s="932"/>
      <c r="J4" s="932"/>
      <c r="K4" s="934"/>
      <c r="L4" s="934"/>
      <c r="M4" s="887"/>
      <c r="N4" s="887"/>
      <c r="O4" s="887"/>
      <c r="P4" s="868"/>
      <c r="Q4" s="866"/>
      <c r="R4" s="868"/>
      <c r="S4" s="866"/>
      <c r="T4" s="893"/>
      <c r="U4" s="939"/>
      <c r="V4" s="866"/>
      <c r="W4" s="866"/>
      <c r="X4" s="893"/>
      <c r="Y4" s="893"/>
      <c r="Z4" s="868"/>
      <c r="AB4" s="900" t="s">
        <v>158</v>
      </c>
      <c r="AC4" s="902" t="s">
        <v>119</v>
      </c>
      <c r="AD4" s="903"/>
      <c r="AE4" s="904"/>
      <c r="AF4" s="879" t="s">
        <v>1078</v>
      </c>
      <c r="AH4" s="900" t="s">
        <v>158</v>
      </c>
      <c r="AI4" s="902" t="s">
        <v>119</v>
      </c>
      <c r="AJ4" s="903"/>
      <c r="AK4" s="904"/>
      <c r="AL4" s="879" t="s">
        <v>1093</v>
      </c>
      <c r="AN4" s="876" t="s">
        <v>122</v>
      </c>
      <c r="AO4" s="876" t="s">
        <v>1070</v>
      </c>
      <c r="AP4" s="876" t="s">
        <v>1075</v>
      </c>
      <c r="AQ4" s="876" t="s">
        <v>1049</v>
      </c>
      <c r="AS4" s="876" t="s">
        <v>1069</v>
      </c>
      <c r="AT4" s="876" t="s">
        <v>1070</v>
      </c>
      <c r="AU4" s="876" t="s">
        <v>1076</v>
      </c>
      <c r="AV4" s="876" t="s">
        <v>1049</v>
      </c>
      <c r="AX4" s="879"/>
    </row>
    <row r="5" spans="1:51" s="294" customFormat="1" ht="39.950000000000003" customHeight="1">
      <c r="A5" s="885"/>
      <c r="B5" s="889"/>
      <c r="C5" s="889"/>
      <c r="D5" s="889"/>
      <c r="E5" s="891"/>
      <c r="F5" s="891"/>
      <c r="G5" s="891"/>
      <c r="H5" s="933"/>
      <c r="I5" s="933"/>
      <c r="J5" s="933"/>
      <c r="K5" s="934"/>
      <c r="L5" s="934"/>
      <c r="M5" s="888"/>
      <c r="N5" s="888"/>
      <c r="O5" s="888"/>
      <c r="P5" s="869"/>
      <c r="Q5" s="892"/>
      <c r="R5" s="869"/>
      <c r="S5" s="892"/>
      <c r="T5" s="893"/>
      <c r="U5" s="939"/>
      <c r="V5" s="866"/>
      <c r="W5" s="866"/>
      <c r="X5" s="893"/>
      <c r="Y5" s="893"/>
      <c r="Z5" s="869"/>
      <c r="AB5" s="901"/>
      <c r="AC5" s="429" t="s">
        <v>1066</v>
      </c>
      <c r="AD5" s="429" t="s">
        <v>1063</v>
      </c>
      <c r="AE5" s="429" t="s">
        <v>1065</v>
      </c>
      <c r="AF5" s="923"/>
      <c r="AH5" s="901"/>
      <c r="AI5" s="429" t="s">
        <v>1066</v>
      </c>
      <c r="AJ5" s="429" t="s">
        <v>1063</v>
      </c>
      <c r="AK5" s="429" t="s">
        <v>1065</v>
      </c>
      <c r="AL5" s="923"/>
      <c r="AN5" s="877"/>
      <c r="AO5" s="877"/>
      <c r="AP5" s="877"/>
      <c r="AQ5" s="877"/>
      <c r="AS5" s="877"/>
      <c r="AT5" s="877"/>
      <c r="AU5" s="877"/>
      <c r="AV5" s="877"/>
      <c r="AX5" s="880"/>
    </row>
    <row r="6" spans="1:51" s="358" customFormat="1" ht="80.099999999999994" customHeight="1">
      <c r="A6" s="151"/>
      <c r="B6" s="151" t="s">
        <v>252</v>
      </c>
      <c r="C6" s="383" t="s">
        <v>191</v>
      </c>
      <c r="D6" s="384"/>
      <c r="E6" s="385"/>
      <c r="F6" s="385"/>
      <c r="G6" s="385"/>
      <c r="H6" s="385"/>
      <c r="I6" s="385"/>
      <c r="J6" s="385"/>
      <c r="K6" s="386" t="s">
        <v>191</v>
      </c>
      <c r="L6" s="342" t="str">
        <f>SUBTOTAL(3,L$7:L$1837)&amp;"건"</f>
        <v>12건</v>
      </c>
      <c r="M6" s="435">
        <f t="shared" ref="M6:S6" si="0">SUBTOTAL(9,M$7:M$1837)</f>
        <v>24700470</v>
      </c>
      <c r="N6" s="435">
        <f t="shared" si="0"/>
        <v>1827627</v>
      </c>
      <c r="O6" s="435">
        <f t="shared" si="0"/>
        <v>26528097</v>
      </c>
      <c r="P6" s="435">
        <f t="shared" si="0"/>
        <v>2662195</v>
      </c>
      <c r="Q6" s="435">
        <f t="shared" si="0"/>
        <v>29190292</v>
      </c>
      <c r="R6" s="435">
        <f t="shared" si="0"/>
        <v>0</v>
      </c>
      <c r="S6" s="435">
        <f t="shared" si="0"/>
        <v>26528097</v>
      </c>
      <c r="T6" s="385"/>
      <c r="U6" s="388"/>
      <c r="V6" s="387"/>
      <c r="W6" s="151"/>
      <c r="X6" s="388"/>
      <c r="Y6" s="388"/>
      <c r="Z6" s="388"/>
      <c r="AB6" s="445">
        <f>SUBTOTAL(9,AB$7:AB$1837)</f>
        <v>2348420</v>
      </c>
      <c r="AC6" s="445">
        <f>SUBTOTAL(9,AC$7:AC$1837)</f>
        <v>309525</v>
      </c>
      <c r="AD6" s="445">
        <f>SUBTOTAL(9,AD$7:AD$1837)</f>
        <v>4250</v>
      </c>
      <c r="AE6" s="445">
        <f>SUBTOTAL(9,AE$7:AE$1837)</f>
        <v>0</v>
      </c>
      <c r="AF6" s="365" t="str">
        <f>IF(COUNTIF(AF$7:AF$1837,"@@")&gt;0,"@@","OK")</f>
        <v>OK</v>
      </c>
      <c r="AG6" s="389"/>
      <c r="AH6" s="445">
        <f>SUBTOTAL(9,AH$7:AH$1837)</f>
        <v>0</v>
      </c>
      <c r="AI6" s="445">
        <f>SUBTOTAL(9,AI$7:AI$1837)</f>
        <v>0</v>
      </c>
      <c r="AJ6" s="445">
        <f>SUBTOTAL(9,AJ$7:AJ$1837)</f>
        <v>0</v>
      </c>
      <c r="AK6" s="445">
        <f>SUBTOTAL(9,AK$7:AK$1837)</f>
        <v>0</v>
      </c>
      <c r="AL6" s="365" t="str">
        <f>IF(COUNTIF(AL$7:AL$1837,"@@")&gt;0,"@@","OK")</f>
        <v>OK</v>
      </c>
      <c r="AN6" s="377"/>
      <c r="AO6" s="365" t="str">
        <f>IF(COUNTIF(AO$7:AO$1837,"@@")&gt;0,"@@","OK")</f>
        <v>OK</v>
      </c>
      <c r="AP6" s="391"/>
      <c r="AQ6" s="365" t="str">
        <f>IF(COUNTIF(AQ$7:AQ$1837,"@@")&gt;0,"@@","OK")</f>
        <v>OK</v>
      </c>
      <c r="AS6" s="377"/>
      <c r="AT6" s="365" t="str">
        <f>IF(COUNTIF(AT$7:AT$1837,"@@")&gt;0,"@@","OK")</f>
        <v>OK</v>
      </c>
      <c r="AU6" s="377"/>
      <c r="AV6" s="365" t="str">
        <f>IF(COUNTIF(AV$7:AV$1837,"@@")&gt;0,"@@","OK")</f>
        <v>OK</v>
      </c>
      <c r="AX6" s="360"/>
    </row>
    <row r="7" spans="1:51" s="310" customFormat="1" ht="60" customHeight="1">
      <c r="A7" s="302"/>
      <c r="B7" s="916" t="s">
        <v>129</v>
      </c>
      <c r="C7" s="916"/>
      <c r="D7" s="916"/>
      <c r="E7" s="916"/>
      <c r="F7" s="916"/>
      <c r="G7" s="916"/>
      <c r="H7" s="303"/>
      <c r="I7" s="322"/>
      <c r="J7" s="322"/>
      <c r="K7" s="304"/>
      <c r="L7" s="305" t="str">
        <f>SUBTOTAL(3,$L8:$L19)&amp;"건"</f>
        <v>12건</v>
      </c>
      <c r="M7" s="436">
        <f t="shared" ref="M7:S7" si="1">SUBTOTAL(9,M8:M19)</f>
        <v>24700470</v>
      </c>
      <c r="N7" s="436">
        <f t="shared" si="1"/>
        <v>1827627</v>
      </c>
      <c r="O7" s="442">
        <f t="shared" si="1"/>
        <v>26528097</v>
      </c>
      <c r="P7" s="442">
        <f t="shared" si="1"/>
        <v>2662195</v>
      </c>
      <c r="Q7" s="442">
        <f t="shared" si="1"/>
        <v>29190292</v>
      </c>
      <c r="R7" s="442">
        <f t="shared" si="1"/>
        <v>0</v>
      </c>
      <c r="S7" s="442">
        <f t="shared" si="1"/>
        <v>26528097</v>
      </c>
      <c r="T7" s="302"/>
      <c r="U7" s="506"/>
      <c r="V7" s="306"/>
      <c r="W7" s="307"/>
      <c r="X7" s="308"/>
      <c r="Y7" s="308"/>
      <c r="Z7" s="308"/>
      <c r="AA7" s="309"/>
      <c r="AB7" s="443">
        <f>SUBTOTAL(9,AB8:AB19)</f>
        <v>2348420</v>
      </c>
      <c r="AC7" s="443">
        <f>SUBTOTAL(9,AC8:AC19)</f>
        <v>309525</v>
      </c>
      <c r="AD7" s="443">
        <f>SUBTOTAL(9,AD8:AD19)</f>
        <v>4250</v>
      </c>
      <c r="AE7" s="443">
        <f>SUBTOTAL(9,AE8:AE19)</f>
        <v>0</v>
      </c>
      <c r="AF7" s="509" t="str">
        <f>IF(COUNTIF(AF8:AF19,"@@")&gt;0,"@@","OK")</f>
        <v>OK</v>
      </c>
      <c r="AG7" s="309"/>
      <c r="AH7" s="443">
        <f>SUBTOTAL(9,AH8:AH19)</f>
        <v>0</v>
      </c>
      <c r="AI7" s="443">
        <f>SUBTOTAL(9,AI8:AI19)</f>
        <v>0</v>
      </c>
      <c r="AJ7" s="443">
        <f>SUBTOTAL(9,AJ8:AJ19)</f>
        <v>0</v>
      </c>
      <c r="AK7" s="443">
        <f>SUBTOTAL(9,AK8:AK19)</f>
        <v>0</v>
      </c>
      <c r="AL7" s="509" t="str">
        <f>IF(COUNTIF(AL8:AL19,"@@")&gt;0,"@@","OK")</f>
        <v>OK</v>
      </c>
      <c r="AM7" s="309"/>
      <c r="AN7" s="308"/>
      <c r="AO7" s="509" t="str">
        <f>IF(COUNTIF(AO8:AO19,"@@")&gt;0,"@@","OK")</f>
        <v>OK</v>
      </c>
      <c r="AP7" s="308"/>
      <c r="AQ7" s="509" t="str">
        <f>IF(COUNTIF(AQ8:AQ19,"@@")&gt;0,"@@","OK")</f>
        <v>OK</v>
      </c>
      <c r="AR7" s="309"/>
      <c r="AS7" s="308"/>
      <c r="AT7" s="509" t="str">
        <f>IF(COUNTIF(AT8:AT19,"@@")&gt;0,"@@","OK")</f>
        <v>OK</v>
      </c>
      <c r="AU7" s="308"/>
      <c r="AV7" s="509" t="str">
        <f>IF(COUNTIF(AV8:AV19,"@@")&gt;0,"@@","OK")</f>
        <v>OK</v>
      </c>
      <c r="AW7" s="309"/>
      <c r="AX7" s="308"/>
      <c r="AY7" s="309"/>
    </row>
    <row r="8" spans="1:51" ht="80.099999999999994" customHeight="1">
      <c r="A8" s="126">
        <f>IF(D8="","",COUNTA($C$7:C8)-COUNTBLANK($C$7:C8)+6)</f>
        <v>6</v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>농정해양위원회</v>
      </c>
      <c r="C8" s="127" t="str">
        <f>IF(D8="","",IF(OR(D8="교육지원과",D8="총무과",D8="인사과"),"직접입력",VLOOKUP(D8,구분표!$A$3:$C$258,3,)))</f>
        <v>농수산생명과학국</v>
      </c>
      <c r="D8" s="187" t="s">
        <v>218</v>
      </c>
      <c r="E8" s="181" t="s">
        <v>1697</v>
      </c>
      <c r="F8" s="350" t="s">
        <v>2041</v>
      </c>
      <c r="G8" s="350" t="s">
        <v>2041</v>
      </c>
      <c r="H8" s="181" t="s">
        <v>408</v>
      </c>
      <c r="I8" s="127" t="str">
        <f>IF(H8="","",VLOOKUP($H8,구분표!$K$3:$M$151,2,FALSE))</f>
        <v>자치단체등 이전</v>
      </c>
      <c r="J8" s="127" t="str">
        <f>IF(I8="","",VLOOKUP($H8,구분표!$K$3:$M$151,3,FALSE))</f>
        <v>자치단체경상보조금</v>
      </c>
      <c r="K8" s="201" t="s">
        <v>2045</v>
      </c>
      <c r="L8" s="201" t="s">
        <v>2043</v>
      </c>
      <c r="M8" s="419" t="str">
        <f>IF($E8="","",IF(OR($E8="2추", $E8="1추", $E8="본예산"), "금액입력", "-"))</f>
        <v>-</v>
      </c>
      <c r="N8" s="419" t="str">
        <f>IF($E8="", "", IF($E8="2추","금액입력", "-"))</f>
        <v>-</v>
      </c>
      <c r="O8" s="421">
        <f t="shared" ref="O8:O18" si="2">IF($E8="","",SUM(M8:N8))</f>
        <v>0</v>
      </c>
      <c r="P8" s="420">
        <v>41339</v>
      </c>
      <c r="Q8" s="421">
        <f t="shared" ref="Q8:Q18" si="3">SUM(O8:P8)</f>
        <v>41339</v>
      </c>
      <c r="R8" s="422"/>
      <c r="S8" s="423">
        <f t="shared" ref="S8:S18" si="4">SUM(O8,R8)</f>
        <v>0</v>
      </c>
      <c r="T8" s="133" t="str">
        <f t="shared" ref="T8:T18" si="5">IF(AND((Q8=0),(S8&gt;0)),"O",IF(AND((P8&lt;0),(Q8-S8&lt;0)),"O","X"))</f>
        <v>X</v>
      </c>
      <c r="U8" s="507" t="s">
        <v>2044</v>
      </c>
      <c r="V8" s="296"/>
      <c r="W8" s="189"/>
      <c r="X8" s="191"/>
      <c r="Y8" s="299"/>
      <c r="Z8" s="299"/>
      <c r="AA8" s="28"/>
      <c r="AB8" s="446">
        <v>41339</v>
      </c>
      <c r="AC8" s="447">
        <f t="shared" ref="AC8:AC18" si="6">IF($P8="", 0, IF(AND(ISNUMBER($AB8), ISNUMBER(AD8), ISNUMBER(AE8)), $P8-$AB8-$AD8-$AE8, 0))</f>
        <v>0</v>
      </c>
      <c r="AD8" s="447">
        <f t="shared" ref="AD8:AD19" si="7">IF($P8="", 0, IF(COUNT(FIND("(지방채)",$L8))&gt;0, "재원입력필요", 0))</f>
        <v>0</v>
      </c>
      <c r="AE8" s="447">
        <f t="shared" ref="AE8:AE19" si="8">IF($P8="", 0, IF(COUNT(FIND("(지역개발기금)",$L8))&gt;0, "재원입력필요", 0))</f>
        <v>0</v>
      </c>
      <c r="AF8" s="336" t="str">
        <f t="shared" ref="AF8:AF19" si="9">IF($P8="", IF(SUM($AB8:$AE8)=0, "", "@@"), IF(AND($P8=SUM($AB8:$AE8),$Q8&gt;=0),"OK","@@"))</f>
        <v>OK</v>
      </c>
      <c r="AG8" s="89"/>
      <c r="AH8" s="448">
        <f t="shared" ref="AH8:AH19" si="10">IF($R8="", 0, IF($R8&lt;&gt;0, "재원입력필요", 0))</f>
        <v>0</v>
      </c>
      <c r="AI8" s="447">
        <f t="shared" ref="AI8:AI19" si="11">IF($R8="", 0, IF(AND(ISNUMBER($AH8), ISNUMBER($AJ8), ISNUMBER($AK8)), $R8-$AH8-$AJ8-$AK8, 0))</f>
        <v>0</v>
      </c>
      <c r="AJ8" s="447">
        <f t="shared" ref="AJ8:AJ19" si="12">IF($R8="", 0, IF(COUNT(FIND("(지방채)",$L8))&gt;0, "재원입력필요", 0))</f>
        <v>0</v>
      </c>
      <c r="AK8" s="447">
        <f t="shared" ref="AK8:AK19" si="13">IF($R8="", 0, IF(COUNT(FIND("(지역개발기금)",$L8))&gt;0, "재원입력필요", 0))</f>
        <v>0</v>
      </c>
      <c r="AL8" s="336" t="str">
        <f t="shared" ref="AL8:AL19" si="14">IF($R8="", IF(SUM($AH8:$AK8)=0, "", "@@"), IF(AND($R8=SUM($AH8:$AK8),$S8&gt;=0),"OK","@@"))</f>
        <v/>
      </c>
      <c r="AM8" s="88"/>
      <c r="AN8" s="189" t="s">
        <v>2046</v>
      </c>
      <c r="AO8" s="336" t="str">
        <f>IF($AP8="", "", IF($AN8="세입없음","OK", IF(OR($AP8="재원확인", $AN8=""),"@@", IF(COUNTIF('3. 일입'!$AK$8:$AK$1820, $AN8), "OK","@@"))))</f>
        <v>OK</v>
      </c>
      <c r="AP8" s="320" t="str">
        <f t="shared" ref="AP8:AP19" si="15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>국비</v>
      </c>
      <c r="AQ8" s="336" t="str">
        <f>IF(AND($AN8="",$AP8=""),"",IF(AND($AN8&lt;&gt;"",$AP8&lt;&gt;""),IF(AN8="세입없음","OK",IF(VLOOKUP($AN8,'3. 일입'!$AK$7:$AL$1820,2,FALSE)=$AP8,"OK","@@")), "@@"))</f>
        <v>OK</v>
      </c>
      <c r="AR8" s="89"/>
      <c r="AS8" s="493"/>
      <c r="AT8" s="336" t="str">
        <f>IF($AS8="","", IF($AS8="세입없음", "OK",  IF(COUNTIF('3. 일입'!$AN$8:$AN$1820, $AS8), "OK", "@@")))</f>
        <v/>
      </c>
      <c r="AU8" s="320" t="str">
        <f t="shared" ref="AU8:AU19" si="16">IF($L8="","",IF(COUNT(FIND("(지역개발기금)",$L8)),"지역개발기금",IF(COUNT(FIND("지방채",$L8)),"지방채","자체")))</f>
        <v>자체</v>
      </c>
      <c r="AV8" s="336" t="str">
        <f t="shared" ref="AV8:AV19" si="17">IF($AS8="", IF($AU8="", "", IF($AU8="자체", "OK", "@@")), IF($AS8="세입없음", "OK", IF($AU8="", "@@", IF(ISNUMBER(FIND($AU8,$AS8)),"OK","@@"))))</f>
        <v>OK</v>
      </c>
      <c r="AW8" s="89"/>
      <c r="AX8" s="312"/>
      <c r="AY8" s="27"/>
    </row>
    <row r="9" spans="1:51" s="19" customFormat="1" ht="80.099999999999994" customHeight="1">
      <c r="A9" s="126">
        <f>IF(D9="","",COUNTA($C$7:C9)-COUNTBLANK($C$7:C9)+6)</f>
        <v>7</v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>농정해양위원회</v>
      </c>
      <c r="C9" s="127" t="str">
        <f>IF(D9="","",IF(OR(D9="교육지원과",D9="총무과",D9="인사과"),"직접입력",VLOOKUP(D9,구분표!$A$3:$C$258,3,)))</f>
        <v>축산동물복지국</v>
      </c>
      <c r="D9" s="187" t="s">
        <v>76</v>
      </c>
      <c r="E9" s="181" t="s">
        <v>1694</v>
      </c>
      <c r="F9" s="350">
        <v>653</v>
      </c>
      <c r="G9" s="350">
        <v>72</v>
      </c>
      <c r="H9" s="181" t="s">
        <v>408</v>
      </c>
      <c r="I9" s="127" t="str">
        <f>IF(H9="","",VLOOKUP($H9,구분표!$K$3:$M$151,2,FALSE))</f>
        <v>자치단체등 이전</v>
      </c>
      <c r="J9" s="127" t="str">
        <f>IF(I9="","",VLOOKUP($H9,구분표!$K$3:$M$151,3,FALSE))</f>
        <v>자치단체경상보조금</v>
      </c>
      <c r="K9" s="201" t="s">
        <v>2071</v>
      </c>
      <c r="L9" s="201" t="s">
        <v>2088</v>
      </c>
      <c r="M9" s="419">
        <v>501000</v>
      </c>
      <c r="N9" s="419">
        <v>58500</v>
      </c>
      <c r="O9" s="421">
        <f t="shared" si="2"/>
        <v>559500</v>
      </c>
      <c r="P9" s="420">
        <v>60000</v>
      </c>
      <c r="Q9" s="421">
        <f t="shared" si="3"/>
        <v>619500</v>
      </c>
      <c r="R9" s="422"/>
      <c r="S9" s="423">
        <f t="shared" si="4"/>
        <v>559500</v>
      </c>
      <c r="T9" s="133" t="str">
        <f t="shared" si="5"/>
        <v>X</v>
      </c>
      <c r="U9" s="507" t="s">
        <v>2084</v>
      </c>
      <c r="V9" s="296"/>
      <c r="W9" s="189"/>
      <c r="X9" s="191"/>
      <c r="Y9" s="299"/>
      <c r="Z9" s="299"/>
      <c r="AA9" s="28"/>
      <c r="AB9" s="446">
        <v>40000</v>
      </c>
      <c r="AC9" s="447">
        <f t="shared" si="6"/>
        <v>0</v>
      </c>
      <c r="AD9" s="447">
        <v>20000</v>
      </c>
      <c r="AE9" s="447">
        <f t="shared" si="8"/>
        <v>0</v>
      </c>
      <c r="AF9" s="336" t="str">
        <f t="shared" si="9"/>
        <v>OK</v>
      </c>
      <c r="AG9" s="89"/>
      <c r="AH9" s="448">
        <f t="shared" si="10"/>
        <v>0</v>
      </c>
      <c r="AI9" s="447">
        <f t="shared" si="11"/>
        <v>0</v>
      </c>
      <c r="AJ9" s="447">
        <f t="shared" si="12"/>
        <v>0</v>
      </c>
      <c r="AK9" s="447">
        <f t="shared" si="13"/>
        <v>0</v>
      </c>
      <c r="AL9" s="336" t="str">
        <f t="shared" si="14"/>
        <v/>
      </c>
      <c r="AM9" s="88"/>
      <c r="AN9" s="189" t="s">
        <v>2105</v>
      </c>
      <c r="AO9" s="336" t="str">
        <f>IF($AP9="", "", IF($AN9="세입없음","OK", IF(OR($AP9="재원확인", $AN9=""),"@@", IF(COUNTIF('3. 일입'!$AK$8:$AK$1820, $AN9), "OK","@@"))))</f>
        <v>OK</v>
      </c>
      <c r="AP9" s="320" t="str">
        <f t="shared" si="15"/>
        <v>기금</v>
      </c>
      <c r="AQ9" s="336" t="str">
        <f>IF(AND($AN9="",$AP9=""),"",IF(AND($AN9&lt;&gt;"",$AP9&lt;&gt;""),IF(AN9="세입없음","OK",IF(VLOOKUP($AN9,'3. 일입'!$AK$7:$AL$1820,2,FALSE)=$AP9,"OK","@@")), "@@"))</f>
        <v>OK</v>
      </c>
      <c r="AR9" s="89"/>
      <c r="AS9" s="493" t="s">
        <v>2130</v>
      </c>
      <c r="AT9" s="336" t="str">
        <f>IF($AS9="","", IF($AS9="세입없음", "OK",  IF(COUNTIF('3. 일입'!$AN$8:$AN$1820, $AS9), "OK", "@@")))</f>
        <v>OK</v>
      </c>
      <c r="AU9" s="320" t="str">
        <f t="shared" si="16"/>
        <v>지방채</v>
      </c>
      <c r="AV9" s="336" t="str">
        <f t="shared" si="17"/>
        <v>OK</v>
      </c>
      <c r="AW9" s="89"/>
      <c r="AX9" s="312"/>
      <c r="AY9" s="28"/>
    </row>
    <row r="10" spans="1:51" s="19" customFormat="1" ht="80.099999999999994" customHeight="1">
      <c r="A10" s="126">
        <f>IF(D10="","",COUNTA($C$7:C10)-COUNTBLANK($C$7:C10)+6)</f>
        <v>8</v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>농정해양위원회</v>
      </c>
      <c r="C10" s="127" t="str">
        <f>IF(D10="","",IF(OR(D10="교육지원과",D10="총무과",D10="인사과"),"직접입력",VLOOKUP(D10,구분표!$A$3:$C$258,3,)))</f>
        <v>축산동물복지국</v>
      </c>
      <c r="D10" s="187" t="s">
        <v>77</v>
      </c>
      <c r="E10" s="181" t="s">
        <v>1694</v>
      </c>
      <c r="F10" s="350">
        <v>660</v>
      </c>
      <c r="G10" s="350">
        <v>177</v>
      </c>
      <c r="H10" s="181" t="s">
        <v>408</v>
      </c>
      <c r="I10" s="127" t="str">
        <f>IF(H10="","",VLOOKUP($H10,구분표!$K$3:$M$151,2,FALSE))</f>
        <v>자치단체등 이전</v>
      </c>
      <c r="J10" s="127" t="str">
        <f>IF(I10="","",VLOOKUP($H10,구분표!$K$3:$M$151,3,FALSE))</f>
        <v>자치단체경상보조금</v>
      </c>
      <c r="K10" s="201" t="s">
        <v>2089</v>
      </c>
      <c r="L10" s="201" t="s">
        <v>2090</v>
      </c>
      <c r="M10" s="419">
        <v>270030</v>
      </c>
      <c r="N10" s="419">
        <v>25527</v>
      </c>
      <c r="O10" s="421">
        <f t="shared" si="2"/>
        <v>295557</v>
      </c>
      <c r="P10" s="420">
        <v>-42339</v>
      </c>
      <c r="Q10" s="421">
        <f t="shared" si="3"/>
        <v>253218</v>
      </c>
      <c r="R10" s="422"/>
      <c r="S10" s="423">
        <f t="shared" si="4"/>
        <v>295557</v>
      </c>
      <c r="T10" s="133" t="str">
        <f t="shared" si="5"/>
        <v>O</v>
      </c>
      <c r="U10" s="507" t="s">
        <v>2087</v>
      </c>
      <c r="V10" s="296"/>
      <c r="W10" s="189"/>
      <c r="X10" s="191"/>
      <c r="Y10" s="299"/>
      <c r="Z10" s="299"/>
      <c r="AA10" s="28"/>
      <c r="AB10" s="446">
        <v>-42339</v>
      </c>
      <c r="AC10" s="447">
        <f t="shared" si="6"/>
        <v>0</v>
      </c>
      <c r="AD10" s="447">
        <f t="shared" si="7"/>
        <v>0</v>
      </c>
      <c r="AE10" s="447">
        <f t="shared" si="8"/>
        <v>0</v>
      </c>
      <c r="AF10" s="336" t="str">
        <f t="shared" si="9"/>
        <v>OK</v>
      </c>
      <c r="AG10" s="89"/>
      <c r="AH10" s="448">
        <f t="shared" si="10"/>
        <v>0</v>
      </c>
      <c r="AI10" s="447">
        <f t="shared" si="11"/>
        <v>0</v>
      </c>
      <c r="AJ10" s="447">
        <f t="shared" si="12"/>
        <v>0</v>
      </c>
      <c r="AK10" s="447">
        <f t="shared" si="13"/>
        <v>0</v>
      </c>
      <c r="AL10" s="336" t="str">
        <f t="shared" si="14"/>
        <v/>
      </c>
      <c r="AM10" s="88"/>
      <c r="AN10" s="189" t="s">
        <v>2106</v>
      </c>
      <c r="AO10" s="336" t="str">
        <f>IF($AP10="", "", IF($AN10="세입없음","OK", IF(OR($AP10="재원확인", $AN10=""),"@@", IF(COUNTIF('3. 일입'!$AK$8:$AK$1820, $AN10), "OK","@@"))))</f>
        <v>OK</v>
      </c>
      <c r="AP10" s="320" t="str">
        <f t="shared" si="15"/>
        <v>국비</v>
      </c>
      <c r="AQ10" s="336" t="str">
        <f>IF(AND($AN10="",$AP10=""),"",IF(AND($AN10&lt;&gt;"",$AP10&lt;&gt;""),IF(AN10="세입없음","OK",IF(VLOOKUP($AN10,'3. 일입'!$AK$7:$AL$1820,2,FALSE)=$AP10,"OK","@@")), "@@"))</f>
        <v>OK</v>
      </c>
      <c r="AR10" s="89"/>
      <c r="AS10" s="493"/>
      <c r="AT10" s="336" t="str">
        <f>IF($AS10="","", IF($AS10="세입없음", "OK",  IF(COUNTIF('3. 일입'!$AN$8:$AN$1820, $AS10), "OK", "@@")))</f>
        <v/>
      </c>
      <c r="AU10" s="320" t="str">
        <f t="shared" si="16"/>
        <v>자체</v>
      </c>
      <c r="AV10" s="336" t="str">
        <f t="shared" si="17"/>
        <v>OK</v>
      </c>
      <c r="AW10" s="89"/>
      <c r="AX10" s="312"/>
      <c r="AY10" s="28"/>
    </row>
    <row r="11" spans="1:51" s="19" customFormat="1" ht="80.099999999999994" customHeight="1">
      <c r="A11" s="126">
        <f>IF(D11="","",COUNTA($C$7:C11)-COUNTBLANK($C$7:C11)+6)</f>
        <v>9</v>
      </c>
      <c r="B11" s="127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>농정해양위원회</v>
      </c>
      <c r="C11" s="127" t="str">
        <f>IF(D11="","",IF(OR(D11="교육지원과",D11="총무과",D11="인사과"),"직접입력",VLOOKUP(D11,구분표!$A$3:$C$258,3,)))</f>
        <v>축산동물복지국</v>
      </c>
      <c r="D11" s="187" t="s">
        <v>77</v>
      </c>
      <c r="E11" s="181" t="s">
        <v>1694</v>
      </c>
      <c r="F11" s="350">
        <v>661</v>
      </c>
      <c r="G11" s="350">
        <v>188</v>
      </c>
      <c r="H11" s="181" t="s">
        <v>961</v>
      </c>
      <c r="I11" s="127" t="str">
        <f>IF(H11="","",VLOOKUP($H11,구분표!$K$3:$M$151,2,FALSE))</f>
        <v>일반보전금</v>
      </c>
      <c r="J11" s="127" t="str">
        <f>IF(I11="","",VLOOKUP($H11,구분표!$K$3:$M$151,3,FALSE))</f>
        <v>기타보상금</v>
      </c>
      <c r="K11" s="201" t="s">
        <v>2091</v>
      </c>
      <c r="L11" s="201" t="s">
        <v>2092</v>
      </c>
      <c r="M11" s="419">
        <v>0</v>
      </c>
      <c r="N11" s="419">
        <v>38700</v>
      </c>
      <c r="O11" s="421">
        <f t="shared" si="2"/>
        <v>38700</v>
      </c>
      <c r="P11" s="420">
        <v>-22500</v>
      </c>
      <c r="Q11" s="421">
        <f t="shared" si="3"/>
        <v>16200</v>
      </c>
      <c r="R11" s="422"/>
      <c r="S11" s="423">
        <f t="shared" si="4"/>
        <v>38700</v>
      </c>
      <c r="T11" s="133" t="str">
        <f t="shared" si="5"/>
        <v>O</v>
      </c>
      <c r="U11" s="507" t="s">
        <v>2087</v>
      </c>
      <c r="V11" s="296"/>
      <c r="W11" s="189"/>
      <c r="X11" s="191"/>
      <c r="Y11" s="299"/>
      <c r="Z11" s="299"/>
      <c r="AA11" s="28"/>
      <c r="AB11" s="446">
        <v>-6750</v>
      </c>
      <c r="AC11" s="447">
        <f t="shared" si="6"/>
        <v>0</v>
      </c>
      <c r="AD11" s="447">
        <v>-15750</v>
      </c>
      <c r="AE11" s="447">
        <f t="shared" si="8"/>
        <v>0</v>
      </c>
      <c r="AF11" s="336" t="str">
        <f t="shared" si="9"/>
        <v>OK</v>
      </c>
      <c r="AG11" s="89"/>
      <c r="AH11" s="448">
        <f t="shared" si="10"/>
        <v>0</v>
      </c>
      <c r="AI11" s="447">
        <f t="shared" si="11"/>
        <v>0</v>
      </c>
      <c r="AJ11" s="447">
        <f t="shared" si="12"/>
        <v>0</v>
      </c>
      <c r="AK11" s="447">
        <f t="shared" si="13"/>
        <v>0</v>
      </c>
      <c r="AL11" s="336" t="str">
        <f t="shared" si="14"/>
        <v/>
      </c>
      <c r="AM11" s="88"/>
      <c r="AN11" s="189" t="s">
        <v>2106</v>
      </c>
      <c r="AO11" s="336" t="str">
        <f>IF($AP11="", "", IF($AN11="세입없음","OK", IF(OR($AP11="재원확인", $AN11=""),"@@", IF(COUNTIF('3. 일입'!$AK$8:$AK$1820, $AN11), "OK","@@"))))</f>
        <v>OK</v>
      </c>
      <c r="AP11" s="320" t="str">
        <f t="shared" si="15"/>
        <v>국비</v>
      </c>
      <c r="AQ11" s="336" t="str">
        <f>IF(AND($AN11="",$AP11=""),"",IF(AND($AN11&lt;&gt;"",$AP11&lt;&gt;""),IF(AN11="세입없음","OK",IF(VLOOKUP($AN11,'3. 일입'!$AK$7:$AL$1820,2,FALSE)=$AP11,"OK","@@")), "@@"))</f>
        <v>OK</v>
      </c>
      <c r="AR11" s="89"/>
      <c r="AS11" s="493" t="s">
        <v>2131</v>
      </c>
      <c r="AT11" s="336" t="str">
        <f>IF($AS11="","", IF($AS11="세입없음", "OK",  IF(COUNTIF('3. 일입'!$AN$8:$AN$1820, $AS11), "OK", "@@")))</f>
        <v>OK</v>
      </c>
      <c r="AU11" s="320" t="str">
        <f t="shared" si="16"/>
        <v>지방채</v>
      </c>
      <c r="AV11" s="336" t="str">
        <f t="shared" si="17"/>
        <v>OK</v>
      </c>
      <c r="AW11" s="89"/>
      <c r="AX11" s="312"/>
      <c r="AY11" s="28"/>
    </row>
    <row r="12" spans="1:51" s="19" customFormat="1" ht="80.099999999999994" customHeight="1">
      <c r="A12" s="126">
        <f>IF(D12="","",COUNTA($C$7:C12)-COUNTBLANK($C$7:C12)+6)</f>
        <v>10</v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>농정해양위원회</v>
      </c>
      <c r="C12" s="127" t="str">
        <f>IF(D12="","",IF(OR(D12="교육지원과",D12="총무과",D12="인사과"),"직접입력",VLOOKUP(D12,구분표!$A$3:$C$258,3,)))</f>
        <v>축산동물복지국</v>
      </c>
      <c r="D12" s="187" t="s">
        <v>77</v>
      </c>
      <c r="E12" s="181" t="s">
        <v>1694</v>
      </c>
      <c r="F12" s="350">
        <v>661</v>
      </c>
      <c r="G12" s="350">
        <v>194</v>
      </c>
      <c r="H12" s="181" t="s">
        <v>408</v>
      </c>
      <c r="I12" s="127" t="str">
        <f>IF(H12="","",VLOOKUP($H12,구분표!$K$3:$M$151,2,FALSE))</f>
        <v>자치단체등 이전</v>
      </c>
      <c r="J12" s="127" t="str">
        <f>IF(I12="","",VLOOKUP($H12,구분표!$K$3:$M$151,3,FALSE))</f>
        <v>자치단체경상보조금</v>
      </c>
      <c r="K12" s="201" t="s">
        <v>2093</v>
      </c>
      <c r="L12" s="201" t="s">
        <v>2094</v>
      </c>
      <c r="M12" s="419">
        <v>5037879</v>
      </c>
      <c r="N12" s="419">
        <v>232925</v>
      </c>
      <c r="O12" s="421">
        <f t="shared" si="2"/>
        <v>5270804</v>
      </c>
      <c r="P12" s="420">
        <v>223560</v>
      </c>
      <c r="Q12" s="421">
        <f t="shared" si="3"/>
        <v>5494364</v>
      </c>
      <c r="R12" s="422"/>
      <c r="S12" s="423">
        <f t="shared" si="4"/>
        <v>5270804</v>
      </c>
      <c r="T12" s="133" t="str">
        <f t="shared" si="5"/>
        <v>X</v>
      </c>
      <c r="U12" s="507" t="s">
        <v>2085</v>
      </c>
      <c r="V12" s="296"/>
      <c r="W12" s="189"/>
      <c r="X12" s="191"/>
      <c r="Y12" s="299"/>
      <c r="Z12" s="299"/>
      <c r="AA12" s="28"/>
      <c r="AB12" s="446">
        <v>223560</v>
      </c>
      <c r="AC12" s="447">
        <f t="shared" si="6"/>
        <v>0</v>
      </c>
      <c r="AD12" s="447">
        <f t="shared" si="7"/>
        <v>0</v>
      </c>
      <c r="AE12" s="447">
        <f t="shared" si="8"/>
        <v>0</v>
      </c>
      <c r="AF12" s="336" t="str">
        <f t="shared" si="9"/>
        <v>OK</v>
      </c>
      <c r="AG12" s="89"/>
      <c r="AH12" s="448">
        <f t="shared" si="10"/>
        <v>0</v>
      </c>
      <c r="AI12" s="447">
        <f t="shared" si="11"/>
        <v>0</v>
      </c>
      <c r="AJ12" s="447">
        <f t="shared" si="12"/>
        <v>0</v>
      </c>
      <c r="AK12" s="447">
        <f t="shared" si="13"/>
        <v>0</v>
      </c>
      <c r="AL12" s="336" t="str">
        <f t="shared" si="14"/>
        <v/>
      </c>
      <c r="AM12" s="88"/>
      <c r="AN12" s="189" t="s">
        <v>2107</v>
      </c>
      <c r="AO12" s="336" t="str">
        <f>IF($AP12="", "", IF($AN12="세입없음","OK", IF(OR($AP12="재원확인", $AN12=""),"@@", IF(COUNTIF('3. 일입'!$AK$8:$AK$1820, $AN12), "OK","@@"))))</f>
        <v>OK</v>
      </c>
      <c r="AP12" s="320" t="str">
        <f t="shared" si="15"/>
        <v>국비</v>
      </c>
      <c r="AQ12" s="336" t="str">
        <f>IF(AND($AN12="",$AP12=""),"",IF(AND($AN12&lt;&gt;"",$AP12&lt;&gt;""),IF(AN12="세입없음","OK",IF(VLOOKUP($AN12,'3. 일입'!$AK$7:$AL$1820,2,FALSE)=$AP12,"OK","@@")), "@@"))</f>
        <v>OK</v>
      </c>
      <c r="AR12" s="89"/>
      <c r="AS12" s="493"/>
      <c r="AT12" s="336" t="str">
        <f>IF($AS12="","", IF($AS12="세입없음", "OK",  IF(COUNTIF('3. 일입'!$AN$8:$AN$1820, $AS12), "OK", "@@")))</f>
        <v/>
      </c>
      <c r="AU12" s="320" t="str">
        <f t="shared" si="16"/>
        <v>자체</v>
      </c>
      <c r="AV12" s="336" t="str">
        <f t="shared" si="17"/>
        <v>OK</v>
      </c>
      <c r="AW12" s="89"/>
      <c r="AX12" s="312"/>
      <c r="AY12" s="28"/>
    </row>
    <row r="13" spans="1:51" s="19" customFormat="1" ht="80.099999999999994" customHeight="1">
      <c r="A13" s="126">
        <f>IF(D13="","",COUNTA($C$7:C13)-COUNTBLANK($C$7:C13)+6)</f>
        <v>11</v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>농정해양위원회</v>
      </c>
      <c r="C13" s="127" t="str">
        <f>IF(D13="","",IF(OR(D13="교육지원과",D13="총무과",D13="인사과"),"직접입력",VLOOKUP(D13,구분표!$A$3:$C$258,3,)))</f>
        <v>축산동물복지국</v>
      </c>
      <c r="D13" s="187" t="s">
        <v>77</v>
      </c>
      <c r="E13" s="181" t="s">
        <v>1694</v>
      </c>
      <c r="F13" s="350">
        <v>661</v>
      </c>
      <c r="G13" s="350">
        <v>197</v>
      </c>
      <c r="H13" s="181" t="s">
        <v>408</v>
      </c>
      <c r="I13" s="127" t="str">
        <f>IF(H13="","",VLOOKUP($H13,구분표!$K$3:$M$151,2,FALSE))</f>
        <v>자치단체등 이전</v>
      </c>
      <c r="J13" s="127" t="str">
        <f>IF(I13="","",VLOOKUP($H13,구분표!$K$3:$M$151,3,FALSE))</f>
        <v>자치단체경상보조금</v>
      </c>
      <c r="K13" s="201" t="s">
        <v>2095</v>
      </c>
      <c r="L13" s="201" t="s">
        <v>2096</v>
      </c>
      <c r="M13" s="419">
        <v>962160</v>
      </c>
      <c r="N13" s="419">
        <v>1431975</v>
      </c>
      <c r="O13" s="421">
        <f t="shared" si="2"/>
        <v>2394135</v>
      </c>
      <c r="P13" s="420">
        <v>-373000</v>
      </c>
      <c r="Q13" s="421">
        <f t="shared" si="3"/>
        <v>2021135</v>
      </c>
      <c r="R13" s="422"/>
      <c r="S13" s="423">
        <f t="shared" si="4"/>
        <v>2394135</v>
      </c>
      <c r="T13" s="133" t="str">
        <f t="shared" si="5"/>
        <v>O</v>
      </c>
      <c r="U13" s="507" t="s">
        <v>2085</v>
      </c>
      <c r="V13" s="296"/>
      <c r="W13" s="189"/>
      <c r="X13" s="191"/>
      <c r="Y13" s="299"/>
      <c r="Z13" s="299"/>
      <c r="AA13" s="28"/>
      <c r="AB13" s="446">
        <v>-373000</v>
      </c>
      <c r="AC13" s="447">
        <f t="shared" si="6"/>
        <v>0</v>
      </c>
      <c r="AD13" s="447">
        <f t="shared" si="7"/>
        <v>0</v>
      </c>
      <c r="AE13" s="447">
        <f t="shared" si="8"/>
        <v>0</v>
      </c>
      <c r="AF13" s="336" t="str">
        <f t="shared" si="9"/>
        <v>OK</v>
      </c>
      <c r="AG13" s="89"/>
      <c r="AH13" s="448">
        <f t="shared" si="10"/>
        <v>0</v>
      </c>
      <c r="AI13" s="447">
        <f t="shared" si="11"/>
        <v>0</v>
      </c>
      <c r="AJ13" s="447">
        <f t="shared" si="12"/>
        <v>0</v>
      </c>
      <c r="AK13" s="447">
        <f t="shared" si="13"/>
        <v>0</v>
      </c>
      <c r="AL13" s="336" t="str">
        <f t="shared" si="14"/>
        <v/>
      </c>
      <c r="AM13" s="88"/>
      <c r="AN13" s="189" t="s">
        <v>2107</v>
      </c>
      <c r="AO13" s="336" t="str">
        <f>IF($AP13="", "", IF($AN13="세입없음","OK", IF(OR($AP13="재원확인", $AN13=""),"@@", IF(COUNTIF('3. 일입'!$AK$8:$AK$1820, $AN13), "OK","@@"))))</f>
        <v>OK</v>
      </c>
      <c r="AP13" s="320" t="str">
        <f t="shared" si="15"/>
        <v>국비</v>
      </c>
      <c r="AQ13" s="336" t="str">
        <f>IF(AND($AN13="",$AP13=""),"",IF(AND($AN13&lt;&gt;"",$AP13&lt;&gt;""),IF(AN13="세입없음","OK",IF(VLOOKUP($AN13,'3. 일입'!$AK$7:$AL$1820,2,FALSE)=$AP13,"OK","@@")), "@@"))</f>
        <v>OK</v>
      </c>
      <c r="AR13" s="89"/>
      <c r="AS13" s="493"/>
      <c r="AT13" s="336" t="str">
        <f>IF($AS13="","", IF($AS13="세입없음", "OK",  IF(COUNTIF('3. 일입'!$AN$8:$AN$1820, $AS13), "OK", "@@")))</f>
        <v/>
      </c>
      <c r="AU13" s="320" t="str">
        <f t="shared" si="16"/>
        <v>자체</v>
      </c>
      <c r="AV13" s="336" t="str">
        <f t="shared" si="17"/>
        <v>OK</v>
      </c>
      <c r="AW13" s="89"/>
      <c r="AX13" s="312"/>
      <c r="AY13" s="28"/>
    </row>
    <row r="14" spans="1:51" s="19" customFormat="1" ht="80.099999999999994" customHeight="1">
      <c r="A14" s="126">
        <f>IF(D14="","",COUNTA($C$7:C14)-COUNTBLANK($C$7:C14)+6)</f>
        <v>12</v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>농정해양위원회</v>
      </c>
      <c r="C14" s="127" t="str">
        <f>IF(D14="","",IF(OR(D14="교육지원과",D14="총무과",D14="인사과"),"직접입력",VLOOKUP(D14,구분표!$A$3:$C$258,3,)))</f>
        <v>축산동물복지국</v>
      </c>
      <c r="D14" s="187" t="s">
        <v>77</v>
      </c>
      <c r="E14" s="181" t="s">
        <v>1696</v>
      </c>
      <c r="F14" s="350" t="str">
        <f t="shared" ref="F14:G15" si="18">IF($E14="","",IF($E14="2추","직접입력","-"))</f>
        <v>-</v>
      </c>
      <c r="G14" s="350" t="str">
        <f t="shared" si="18"/>
        <v>-</v>
      </c>
      <c r="H14" s="181" t="s">
        <v>408</v>
      </c>
      <c r="I14" s="127" t="str">
        <f>IF(H14="","",VLOOKUP($H14,구분표!$K$3:$M$151,2,FALSE))</f>
        <v>자치단체등 이전</v>
      </c>
      <c r="J14" s="127" t="str">
        <f>IF(I14="","",VLOOKUP($H14,구분표!$K$3:$M$151,3,FALSE))</f>
        <v>자치단체경상보조금</v>
      </c>
      <c r="K14" s="201" t="s">
        <v>2097</v>
      </c>
      <c r="L14" s="201" t="s">
        <v>2098</v>
      </c>
      <c r="M14" s="419">
        <v>73387</v>
      </c>
      <c r="N14" s="419" t="s">
        <v>2041</v>
      </c>
      <c r="O14" s="421">
        <f t="shared" si="2"/>
        <v>73387</v>
      </c>
      <c r="P14" s="420">
        <v>-10590</v>
      </c>
      <c r="Q14" s="421">
        <f t="shared" si="3"/>
        <v>62797</v>
      </c>
      <c r="R14" s="422"/>
      <c r="S14" s="423">
        <f t="shared" si="4"/>
        <v>73387</v>
      </c>
      <c r="T14" s="133" t="str">
        <f t="shared" si="5"/>
        <v>O</v>
      </c>
      <c r="U14" s="507" t="s">
        <v>2085</v>
      </c>
      <c r="V14" s="296"/>
      <c r="W14" s="189"/>
      <c r="X14" s="191"/>
      <c r="Y14" s="299"/>
      <c r="Z14" s="299"/>
      <c r="AA14" s="28"/>
      <c r="AB14" s="446">
        <v>-10590</v>
      </c>
      <c r="AC14" s="447">
        <f t="shared" si="6"/>
        <v>0</v>
      </c>
      <c r="AD14" s="447">
        <f t="shared" si="7"/>
        <v>0</v>
      </c>
      <c r="AE14" s="447">
        <f t="shared" si="8"/>
        <v>0</v>
      </c>
      <c r="AF14" s="336" t="str">
        <f t="shared" si="9"/>
        <v>OK</v>
      </c>
      <c r="AG14" s="89"/>
      <c r="AH14" s="448">
        <f t="shared" si="10"/>
        <v>0</v>
      </c>
      <c r="AI14" s="447">
        <f t="shared" si="11"/>
        <v>0</v>
      </c>
      <c r="AJ14" s="447">
        <f t="shared" si="12"/>
        <v>0</v>
      </c>
      <c r="AK14" s="447">
        <f t="shared" si="13"/>
        <v>0</v>
      </c>
      <c r="AL14" s="336" t="str">
        <f t="shared" si="14"/>
        <v/>
      </c>
      <c r="AM14" s="88"/>
      <c r="AN14" s="189" t="s">
        <v>2107</v>
      </c>
      <c r="AO14" s="336" t="str">
        <f>IF($AP14="", "", IF($AN14="세입없음","OK", IF(OR($AP14="재원확인", $AN14=""),"@@", IF(COUNTIF('3. 일입'!$AK$8:$AK$1820, $AN14), "OK","@@"))))</f>
        <v>OK</v>
      </c>
      <c r="AP14" s="320" t="str">
        <f t="shared" si="15"/>
        <v>국비</v>
      </c>
      <c r="AQ14" s="336" t="str">
        <f>IF(AND($AN14="",$AP14=""),"",IF(AND($AN14&lt;&gt;"",$AP14&lt;&gt;""),IF(AN14="세입없음","OK",IF(VLOOKUP($AN14,'3. 일입'!$AK$7:$AL$1820,2,FALSE)=$AP14,"OK","@@")), "@@"))</f>
        <v>OK</v>
      </c>
      <c r="AR14" s="89"/>
      <c r="AS14" s="493"/>
      <c r="AT14" s="336" t="str">
        <f>IF($AS14="","", IF($AS14="세입없음", "OK",  IF(COUNTIF('3. 일입'!$AN$8:$AN$1820, $AS14), "OK", "@@")))</f>
        <v/>
      </c>
      <c r="AU14" s="320" t="str">
        <f t="shared" si="16"/>
        <v>자체</v>
      </c>
      <c r="AV14" s="336" t="str">
        <f t="shared" si="17"/>
        <v>OK</v>
      </c>
      <c r="AW14" s="89"/>
      <c r="AX14" s="312"/>
      <c r="AY14" s="28"/>
    </row>
    <row r="15" spans="1:51" s="19" customFormat="1" ht="80.099999999999994" customHeight="1">
      <c r="A15" s="126">
        <f>IF(D15="","",COUNTA($C$7:C15)-COUNTBLANK($C$7:C15)+6)</f>
        <v>13</v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>농정해양위원회</v>
      </c>
      <c r="C15" s="127" t="str">
        <f>IF(D15="","",IF(OR(D15="교육지원과",D15="총무과",D15="인사과"),"직접입력",VLOOKUP(D15,구분표!$A$3:$C$258,3,)))</f>
        <v>축산동물복지국</v>
      </c>
      <c r="D15" s="187" t="s">
        <v>77</v>
      </c>
      <c r="E15" s="181" t="s">
        <v>1696</v>
      </c>
      <c r="F15" s="350" t="str">
        <f t="shared" si="18"/>
        <v>-</v>
      </c>
      <c r="G15" s="350" t="str">
        <f t="shared" si="18"/>
        <v>-</v>
      </c>
      <c r="H15" s="181" t="s">
        <v>408</v>
      </c>
      <c r="I15" s="127" t="str">
        <f>IF(H15="","",VLOOKUP($H15,구분표!$K$3:$M$151,2,FALSE))</f>
        <v>자치단체등 이전</v>
      </c>
      <c r="J15" s="127" t="str">
        <f>IF(I15="","",VLOOKUP($H15,구분표!$K$3:$M$151,3,FALSE))</f>
        <v>자치단체경상보조금</v>
      </c>
      <c r="K15" s="201" t="s">
        <v>2099</v>
      </c>
      <c r="L15" s="201" t="s">
        <v>2100</v>
      </c>
      <c r="M15" s="419">
        <v>16875000</v>
      </c>
      <c r="N15" s="419" t="s">
        <v>2041</v>
      </c>
      <c r="O15" s="421">
        <f t="shared" si="2"/>
        <v>16875000</v>
      </c>
      <c r="P15" s="420">
        <v>2785725</v>
      </c>
      <c r="Q15" s="421">
        <f t="shared" si="3"/>
        <v>19660725</v>
      </c>
      <c r="R15" s="422"/>
      <c r="S15" s="423">
        <f t="shared" si="4"/>
        <v>16875000</v>
      </c>
      <c r="T15" s="133" t="str">
        <f t="shared" si="5"/>
        <v>X</v>
      </c>
      <c r="U15" s="507" t="s">
        <v>2086</v>
      </c>
      <c r="V15" s="296"/>
      <c r="W15" s="189"/>
      <c r="X15" s="191"/>
      <c r="Y15" s="299"/>
      <c r="Z15" s="299"/>
      <c r="AA15" s="28"/>
      <c r="AB15" s="446">
        <v>2476200</v>
      </c>
      <c r="AC15" s="447">
        <f t="shared" si="6"/>
        <v>309525</v>
      </c>
      <c r="AD15" s="447">
        <f t="shared" si="7"/>
        <v>0</v>
      </c>
      <c r="AE15" s="447">
        <f t="shared" si="8"/>
        <v>0</v>
      </c>
      <c r="AF15" s="336" t="str">
        <f t="shared" si="9"/>
        <v>OK</v>
      </c>
      <c r="AG15" s="89"/>
      <c r="AH15" s="448">
        <f t="shared" si="10"/>
        <v>0</v>
      </c>
      <c r="AI15" s="447">
        <f t="shared" si="11"/>
        <v>0</v>
      </c>
      <c r="AJ15" s="447">
        <f t="shared" si="12"/>
        <v>0</v>
      </c>
      <c r="AK15" s="447">
        <f t="shared" si="13"/>
        <v>0</v>
      </c>
      <c r="AL15" s="336" t="str">
        <f t="shared" si="14"/>
        <v/>
      </c>
      <c r="AM15" s="88"/>
      <c r="AN15" s="189" t="s">
        <v>2108</v>
      </c>
      <c r="AO15" s="336" t="str">
        <f>IF($AP15="", "", IF($AN15="세입없음","OK", IF(OR($AP15="재원확인", $AN15=""),"@@", IF(COUNTIF('3. 일입'!$AK$8:$AK$1820, $AN15), "OK","@@"))))</f>
        <v>OK</v>
      </c>
      <c r="AP15" s="320" t="str">
        <f t="shared" si="15"/>
        <v>국비</v>
      </c>
      <c r="AQ15" s="336" t="str">
        <f>IF(AND($AN15="",$AP15=""),"",IF(AND($AN15&lt;&gt;"",$AP15&lt;&gt;""),IF(AN15="세입없음","OK",IF(VLOOKUP($AN15,'3. 일입'!$AK$7:$AL$1820,2,FALSE)=$AP15,"OK","@@")), "@@"))</f>
        <v>OK</v>
      </c>
      <c r="AR15" s="89"/>
      <c r="AS15" s="493"/>
      <c r="AT15" s="336" t="str">
        <f>IF($AS15="","", IF($AS15="세입없음", "OK",  IF(COUNTIF('3. 일입'!$AN$8:$AN$1820, $AS15), "OK", "@@")))</f>
        <v/>
      </c>
      <c r="AU15" s="320" t="str">
        <f t="shared" si="16"/>
        <v>자체</v>
      </c>
      <c r="AV15" s="336" t="str">
        <f t="shared" si="17"/>
        <v>OK</v>
      </c>
      <c r="AW15" s="89"/>
      <c r="AX15" s="312"/>
      <c r="AY15" s="28"/>
    </row>
    <row r="16" spans="1:51" s="19" customFormat="1" ht="80.099999999999994" customHeight="1">
      <c r="A16" s="126">
        <f>IF(D16="","",COUNTA($C$7:C16)-COUNTBLANK($C$7:C16)+6)</f>
        <v>14</v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>농정해양위원회</v>
      </c>
      <c r="C16" s="127" t="str">
        <f>IF(D16="","",IF(OR(D16="교육지원과",D16="총무과",D16="인사과"),"직접입력",VLOOKUP(D16,구분표!$A$3:$C$258,3,)))</f>
        <v>축산동물복지국</v>
      </c>
      <c r="D16" s="187" t="s">
        <v>937</v>
      </c>
      <c r="E16" s="181" t="s">
        <v>1694</v>
      </c>
      <c r="F16" s="350">
        <v>666</v>
      </c>
      <c r="G16" s="350">
        <v>253</v>
      </c>
      <c r="H16" s="181" t="s">
        <v>429</v>
      </c>
      <c r="I16" s="127" t="str">
        <f>IF(H16="","",VLOOKUP($H16,구분표!$K$3:$M$151,2,FALSE))</f>
        <v>시설비 및 부대비</v>
      </c>
      <c r="J16" s="127" t="str">
        <f>IF(I16="","",VLOOKUP($H16,구분표!$K$3:$M$151,3,FALSE))</f>
        <v>시설비</v>
      </c>
      <c r="K16" s="201" t="s">
        <v>2101</v>
      </c>
      <c r="L16" s="201" t="s">
        <v>2102</v>
      </c>
      <c r="M16" s="419">
        <v>806000</v>
      </c>
      <c r="N16" s="419">
        <v>38000</v>
      </c>
      <c r="O16" s="421">
        <f t="shared" si="2"/>
        <v>844000</v>
      </c>
      <c r="P16" s="420">
        <v>-58000</v>
      </c>
      <c r="Q16" s="421">
        <f t="shared" si="3"/>
        <v>786000</v>
      </c>
      <c r="R16" s="422"/>
      <c r="S16" s="423">
        <f t="shared" si="4"/>
        <v>844000</v>
      </c>
      <c r="T16" s="133" t="str">
        <f t="shared" si="5"/>
        <v>O</v>
      </c>
      <c r="U16" s="507"/>
      <c r="V16" s="296" t="s">
        <v>2104</v>
      </c>
      <c r="W16" s="189"/>
      <c r="X16" s="191"/>
      <c r="Y16" s="299"/>
      <c r="Z16" s="299"/>
      <c r="AA16" s="28"/>
      <c r="AB16" s="446">
        <v>-23559</v>
      </c>
      <c r="AC16" s="447">
        <f t="shared" si="6"/>
        <v>-34441</v>
      </c>
      <c r="AD16" s="447">
        <f t="shared" si="7"/>
        <v>0</v>
      </c>
      <c r="AE16" s="447">
        <f t="shared" si="8"/>
        <v>0</v>
      </c>
      <c r="AF16" s="336" t="str">
        <f t="shared" si="9"/>
        <v>OK</v>
      </c>
      <c r="AG16" s="89"/>
      <c r="AH16" s="448">
        <f t="shared" si="10"/>
        <v>0</v>
      </c>
      <c r="AI16" s="447">
        <f t="shared" si="11"/>
        <v>0</v>
      </c>
      <c r="AJ16" s="447">
        <f t="shared" si="12"/>
        <v>0</v>
      </c>
      <c r="AK16" s="447">
        <f t="shared" si="13"/>
        <v>0</v>
      </c>
      <c r="AL16" s="336" t="str">
        <f t="shared" si="14"/>
        <v/>
      </c>
      <c r="AM16" s="88"/>
      <c r="AN16" s="189" t="s">
        <v>2109</v>
      </c>
      <c r="AO16" s="336" t="str">
        <f>IF($AP16="", "", IF($AN16="세입없음","OK", IF(OR($AP16="재원확인", $AN16=""),"@@", IF(COUNTIF('3. 일입'!$AK$8:$AK$1820, $AN16), "OK","@@"))))</f>
        <v>OK</v>
      </c>
      <c r="AP16" s="320" t="str">
        <f t="shared" si="15"/>
        <v>국비</v>
      </c>
      <c r="AQ16" s="336" t="str">
        <f>IF(AND($AN16="",$AP16=""),"",IF(AND($AN16&lt;&gt;"",$AP16&lt;&gt;""),IF(AN16="세입없음","OK",IF(VLOOKUP($AN16,'3. 일입'!$AK$7:$AL$1820,2,FALSE)=$AP16,"OK","@@")), "@@"))</f>
        <v>OK</v>
      </c>
      <c r="AR16" s="89"/>
      <c r="AS16" s="493"/>
      <c r="AT16" s="336" t="str">
        <f>IF($AS16="","", IF($AS16="세입없음", "OK",  IF(COUNTIF('3. 일입'!$AN$8:$AN$1820, $AS16), "OK", "@@")))</f>
        <v/>
      </c>
      <c r="AU16" s="320" t="str">
        <f t="shared" si="16"/>
        <v>자체</v>
      </c>
      <c r="AV16" s="336" t="str">
        <f t="shared" si="17"/>
        <v>OK</v>
      </c>
      <c r="AW16" s="89"/>
      <c r="AX16" s="312"/>
      <c r="AY16" s="28"/>
    </row>
    <row r="17" spans="1:51" s="19" customFormat="1" ht="80.099999999999994" customHeight="1">
      <c r="A17" s="126">
        <f>IF(D17="","",COUNTA($C$7:C17)-COUNTBLANK($C$7:C17)+6)</f>
        <v>15</v>
      </c>
      <c r="B17" s="127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>농정해양위원회</v>
      </c>
      <c r="C17" s="127" t="str">
        <f>IF(D17="","",IF(OR(D17="교육지원과",D17="총무과",D17="인사과"),"직접입력",VLOOKUP(D17,구분표!$A$3:$C$258,3,)))</f>
        <v>축산동물복지국</v>
      </c>
      <c r="D17" s="187" t="s">
        <v>937</v>
      </c>
      <c r="E17" s="181" t="s">
        <v>1694</v>
      </c>
      <c r="F17" s="350">
        <v>666</v>
      </c>
      <c r="G17" s="350">
        <v>253</v>
      </c>
      <c r="H17" s="181" t="s">
        <v>431</v>
      </c>
      <c r="I17" s="127" t="str">
        <f>IF(H17="","",VLOOKUP($H17,구분표!$K$3:$M$151,2,FALSE))</f>
        <v>시설비 및 부대비</v>
      </c>
      <c r="J17" s="127" t="str">
        <f>IF(I17="","",VLOOKUP($H17,구분표!$K$3:$M$151,3,FALSE))</f>
        <v>감리비</v>
      </c>
      <c r="K17" s="201" t="s">
        <v>2101</v>
      </c>
      <c r="L17" s="201" t="s">
        <v>2103</v>
      </c>
      <c r="M17" s="419">
        <v>10000</v>
      </c>
      <c r="N17" s="419">
        <v>2000</v>
      </c>
      <c r="O17" s="421">
        <f t="shared" si="2"/>
        <v>12000</v>
      </c>
      <c r="P17" s="420">
        <v>58000</v>
      </c>
      <c r="Q17" s="421">
        <f t="shared" si="3"/>
        <v>70000</v>
      </c>
      <c r="R17" s="422"/>
      <c r="S17" s="423">
        <f t="shared" si="4"/>
        <v>12000</v>
      </c>
      <c r="T17" s="133" t="str">
        <f t="shared" si="5"/>
        <v>X</v>
      </c>
      <c r="U17" s="507"/>
      <c r="V17" s="296" t="s">
        <v>2104</v>
      </c>
      <c r="W17" s="189"/>
      <c r="X17" s="191"/>
      <c r="Y17" s="299"/>
      <c r="Z17" s="299"/>
      <c r="AA17" s="28"/>
      <c r="AB17" s="446">
        <v>23559</v>
      </c>
      <c r="AC17" s="447">
        <f t="shared" si="6"/>
        <v>34441</v>
      </c>
      <c r="AD17" s="447">
        <f t="shared" si="7"/>
        <v>0</v>
      </c>
      <c r="AE17" s="447">
        <f t="shared" si="8"/>
        <v>0</v>
      </c>
      <c r="AF17" s="336" t="str">
        <f t="shared" si="9"/>
        <v>OK</v>
      </c>
      <c r="AG17" s="89"/>
      <c r="AH17" s="448">
        <f t="shared" si="10"/>
        <v>0</v>
      </c>
      <c r="AI17" s="447">
        <f t="shared" si="11"/>
        <v>0</v>
      </c>
      <c r="AJ17" s="447">
        <f t="shared" si="12"/>
        <v>0</v>
      </c>
      <c r="AK17" s="447">
        <f t="shared" si="13"/>
        <v>0</v>
      </c>
      <c r="AL17" s="336" t="str">
        <f t="shared" si="14"/>
        <v/>
      </c>
      <c r="AM17" s="88"/>
      <c r="AN17" s="189" t="s">
        <v>2109</v>
      </c>
      <c r="AO17" s="336" t="str">
        <f>IF($AP17="", "", IF($AN17="세입없음","OK", IF(OR($AP17="재원확인", $AN17=""),"@@", IF(COUNTIF('3. 일입'!$AK$8:$AK$1820, $AN17), "OK","@@"))))</f>
        <v>OK</v>
      </c>
      <c r="AP17" s="320" t="str">
        <f t="shared" si="15"/>
        <v>국비</v>
      </c>
      <c r="AQ17" s="336" t="str">
        <f>IF(AND($AN17="",$AP17=""),"",IF(AND($AN17&lt;&gt;"",$AP17&lt;&gt;""),IF(AN17="세입없음","OK",IF(VLOOKUP($AN17,'3. 일입'!$AK$7:$AL$1820,2,FALSE)=$AP17,"OK","@@")), "@@"))</f>
        <v>OK</v>
      </c>
      <c r="AR17" s="89"/>
      <c r="AS17" s="493"/>
      <c r="AT17" s="336" t="str">
        <f>IF($AS17="","", IF($AS17="세입없음", "OK",  IF(COUNTIF('3. 일입'!$AN$8:$AN$1820, $AS17), "OK", "@@")))</f>
        <v/>
      </c>
      <c r="AU17" s="320" t="str">
        <f t="shared" si="16"/>
        <v>자체</v>
      </c>
      <c r="AV17" s="336" t="str">
        <f t="shared" si="17"/>
        <v>OK</v>
      </c>
      <c r="AW17" s="89"/>
      <c r="AX17" s="312"/>
      <c r="AY17" s="28"/>
    </row>
    <row r="18" spans="1:51" s="19" customFormat="1" ht="80.099999999999994" customHeight="1">
      <c r="A18" s="126">
        <f>IF(D18="","",COUNTA($C$7:C18)-COUNTBLANK($C$7:C18)+6)</f>
        <v>16</v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>농정해양위원회</v>
      </c>
      <c r="C18" s="127" t="str">
        <f>IF(D18="","",IF(OR(D18="교육지원과",D18="총무과",D18="인사과"),"직접입력",VLOOKUP(D18,구분표!$A$3:$C$258,3,)))</f>
        <v>기후환경에너지국</v>
      </c>
      <c r="D18" s="187" t="s">
        <v>2117</v>
      </c>
      <c r="E18" s="181" t="s">
        <v>1696</v>
      </c>
      <c r="F18" s="350" t="str">
        <f>IF($E18="","",IF($E18="2추","직접입력","-"))</f>
        <v>-</v>
      </c>
      <c r="G18" s="350" t="str">
        <f>IF($E18="","",IF($E18="2추","직접입력","-"))</f>
        <v>-</v>
      </c>
      <c r="H18" s="181" t="s">
        <v>408</v>
      </c>
      <c r="I18" s="127" t="str">
        <f>IF(H18="","",VLOOKUP($H18,구분표!$K$3:$M$151,2,FALSE))</f>
        <v>자치단체등 이전</v>
      </c>
      <c r="J18" s="127" t="str">
        <f>IF(I18="","",VLOOKUP($H18,구분표!$K$3:$M$151,3,FALSE))</f>
        <v>자치단체경상보조금</v>
      </c>
      <c r="K18" s="201" t="s">
        <v>2119</v>
      </c>
      <c r="L18" s="201" t="s">
        <v>2120</v>
      </c>
      <c r="M18" s="419">
        <v>60007</v>
      </c>
      <c r="N18" s="419" t="str">
        <f t="shared" ref="N18:N19" si="19">IF($E18="", "", IF($E18="2추","금액입력", "-"))</f>
        <v>-</v>
      </c>
      <c r="O18" s="421">
        <f t="shared" si="2"/>
        <v>60007</v>
      </c>
      <c r="P18" s="420">
        <v>-1200</v>
      </c>
      <c r="Q18" s="421">
        <f t="shared" si="3"/>
        <v>58807</v>
      </c>
      <c r="R18" s="422"/>
      <c r="S18" s="423">
        <f t="shared" si="4"/>
        <v>60007</v>
      </c>
      <c r="T18" s="133" t="str">
        <f t="shared" si="5"/>
        <v>O</v>
      </c>
      <c r="U18" s="507"/>
      <c r="V18" s="296"/>
      <c r="W18" s="189"/>
      <c r="X18" s="191"/>
      <c r="Y18" s="299"/>
      <c r="Z18" s="299"/>
      <c r="AA18" s="28"/>
      <c r="AB18" s="446">
        <v>-1200</v>
      </c>
      <c r="AC18" s="447">
        <f t="shared" si="6"/>
        <v>0</v>
      </c>
      <c r="AD18" s="447">
        <f t="shared" si="7"/>
        <v>0</v>
      </c>
      <c r="AE18" s="447">
        <f t="shared" si="8"/>
        <v>0</v>
      </c>
      <c r="AF18" s="336" t="str">
        <f t="shared" si="9"/>
        <v>OK</v>
      </c>
      <c r="AG18" s="89"/>
      <c r="AH18" s="448">
        <f t="shared" si="10"/>
        <v>0</v>
      </c>
      <c r="AI18" s="447">
        <f t="shared" si="11"/>
        <v>0</v>
      </c>
      <c r="AJ18" s="447">
        <f t="shared" si="12"/>
        <v>0</v>
      </c>
      <c r="AK18" s="447">
        <f t="shared" si="13"/>
        <v>0</v>
      </c>
      <c r="AL18" s="336" t="str">
        <f t="shared" si="14"/>
        <v/>
      </c>
      <c r="AM18" s="88"/>
      <c r="AN18" s="189" t="s">
        <v>2123</v>
      </c>
      <c r="AO18" s="336" t="str">
        <f>IF($AP18="", "", IF($AN18="세입없음","OK", IF(OR($AP18="재원확인", $AN18=""),"@@", IF(COUNTIF('3. 일입'!$AK$8:$AK$1820, $AN18), "OK","@@"))))</f>
        <v>OK</v>
      </c>
      <c r="AP18" s="320" t="str">
        <f t="shared" si="15"/>
        <v>국비</v>
      </c>
      <c r="AQ18" s="336" t="str">
        <f>IF(AND($AN18="",$AP18=""),"",IF(AND($AN18&lt;&gt;"",$AP18&lt;&gt;""),IF(AN18="세입없음","OK",IF(VLOOKUP($AN18,'3. 일입'!$AK$7:$AL$1820,2,FALSE)=$AP18,"OK","@@")), "@@"))</f>
        <v>OK</v>
      </c>
      <c r="AR18" s="89"/>
      <c r="AS18" s="493"/>
      <c r="AT18" s="336" t="str">
        <f>IF($AS18="","", IF($AS18="세입없음", "OK",  IF(COUNTIF('3. 일입'!$AN$8:$AN$1820, $AS18), "OK", "@@")))</f>
        <v/>
      </c>
      <c r="AU18" s="320" t="str">
        <f t="shared" si="16"/>
        <v>자체</v>
      </c>
      <c r="AV18" s="336" t="str">
        <f t="shared" si="17"/>
        <v>OK</v>
      </c>
      <c r="AW18" s="89"/>
      <c r="AX18" s="312"/>
      <c r="AY18" s="28"/>
    </row>
    <row r="19" spans="1:51" s="19" customFormat="1" ht="80.099999999999994" customHeight="1">
      <c r="A19" s="126">
        <f>IF(D19="","",COUNTA($C$7:C19)-COUNTBLANK($C$7:C19)+6)</f>
        <v>17</v>
      </c>
      <c r="B19" s="127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>농정해양위원회</v>
      </c>
      <c r="C19" s="127" t="str">
        <f>IF(D19="","",IF(OR(D19="교육지원과",D19="총무과",D19="인사과"),"직접입력",VLOOKUP(D19,구분표!$A$3:$C$258,3,)))</f>
        <v>기후환경에너지국</v>
      </c>
      <c r="D19" s="187" t="s">
        <v>2118</v>
      </c>
      <c r="E19" s="181" t="s">
        <v>1696</v>
      </c>
      <c r="F19" s="350" t="str">
        <f t="shared" ref="F19:G19" si="20">IF($E19="","",IF($E19="2추","직접입력","-"))</f>
        <v>-</v>
      </c>
      <c r="G19" s="350" t="str">
        <f t="shared" si="20"/>
        <v>-</v>
      </c>
      <c r="H19" s="181" t="s">
        <v>370</v>
      </c>
      <c r="I19" s="127" t="str">
        <f>IF(H19="","",VLOOKUP($H19,구분표!$K$3:$M$151,2,FALSE))</f>
        <v>일반보전금</v>
      </c>
      <c r="J19" s="127" t="str">
        <f>IF(I19="","",VLOOKUP($H19,구분표!$K$3:$M$151,3,FALSE))</f>
        <v>사회복무요원보상금</v>
      </c>
      <c r="K19" s="201" t="s">
        <v>2121</v>
      </c>
      <c r="L19" s="201" t="s">
        <v>2122</v>
      </c>
      <c r="M19" s="419">
        <v>105007</v>
      </c>
      <c r="N19" s="419" t="str">
        <f t="shared" si="19"/>
        <v>-</v>
      </c>
      <c r="O19" s="421">
        <f t="shared" ref="O19" si="21">IF($E19="","",SUM(M19:N19))</f>
        <v>105007</v>
      </c>
      <c r="P19" s="420">
        <v>1200</v>
      </c>
      <c r="Q19" s="421">
        <f t="shared" ref="Q19" si="22">SUM(O19:P19)</f>
        <v>106207</v>
      </c>
      <c r="R19" s="422"/>
      <c r="S19" s="423">
        <f t="shared" ref="S19" si="23">SUM(O19,R19)</f>
        <v>105007</v>
      </c>
      <c r="T19" s="133" t="str">
        <f t="shared" ref="T19" si="24">IF(AND((Q19=0),(S19&gt;0)),"O",IF(AND((P19&lt;0),(Q19-S19&lt;0)),"O","X"))</f>
        <v>X</v>
      </c>
      <c r="U19" s="507"/>
      <c r="V19" s="296"/>
      <c r="W19" s="189"/>
      <c r="X19" s="191"/>
      <c r="Y19" s="299"/>
      <c r="Z19" s="299"/>
      <c r="AA19" s="28"/>
      <c r="AB19" s="446">
        <v>1200</v>
      </c>
      <c r="AC19" s="447">
        <f t="shared" ref="AC19" si="25">IF($P19="", 0, IF(AND(ISNUMBER($AB19), ISNUMBER(AD19), ISNUMBER(AE19)), $P19-$AB19-$AD19-$AE19, 0))</f>
        <v>0</v>
      </c>
      <c r="AD19" s="447">
        <f t="shared" si="7"/>
        <v>0</v>
      </c>
      <c r="AE19" s="447">
        <f t="shared" si="8"/>
        <v>0</v>
      </c>
      <c r="AF19" s="336" t="str">
        <f t="shared" si="9"/>
        <v>OK</v>
      </c>
      <c r="AG19" s="89"/>
      <c r="AH19" s="448">
        <f t="shared" si="10"/>
        <v>0</v>
      </c>
      <c r="AI19" s="447">
        <f t="shared" si="11"/>
        <v>0</v>
      </c>
      <c r="AJ19" s="447">
        <f t="shared" si="12"/>
        <v>0</v>
      </c>
      <c r="AK19" s="447">
        <f t="shared" si="13"/>
        <v>0</v>
      </c>
      <c r="AL19" s="336" t="str">
        <f t="shared" si="14"/>
        <v/>
      </c>
      <c r="AM19" s="88"/>
      <c r="AN19" s="189" t="s">
        <v>2123</v>
      </c>
      <c r="AO19" s="336" t="str">
        <f>IF($AP19="", "", IF($AN19="세입없음","OK", IF(OR($AP19="재원확인", $AN19=""),"@@", IF(COUNTIF('3. 일입'!$AK$8:$AK$1820, $AN19), "OK","@@"))))</f>
        <v>OK</v>
      </c>
      <c r="AP19" s="320" t="str">
        <f t="shared" si="15"/>
        <v>국비</v>
      </c>
      <c r="AQ19" s="336" t="str">
        <f>IF(AND($AN19="",$AP19=""),"",IF(AND($AN19&lt;&gt;"",$AP19&lt;&gt;""),IF(AN19="세입없음","OK",IF(VLOOKUP($AN19,'3. 일입'!$AK$7:$AL$1820,2,FALSE)=$AP19,"OK","@@")), "@@"))</f>
        <v>OK</v>
      </c>
      <c r="AR19" s="89"/>
      <c r="AS19" s="493"/>
      <c r="AT19" s="336" t="str">
        <f>IF($AS19="","", IF($AS19="세입없음", "OK",  IF(COUNTIF('3. 일입'!$AN$8:$AN$1820, $AS19), "OK", "@@")))</f>
        <v/>
      </c>
      <c r="AU19" s="320" t="str">
        <f t="shared" si="16"/>
        <v>자체</v>
      </c>
      <c r="AV19" s="336" t="str">
        <f t="shared" si="17"/>
        <v>OK</v>
      </c>
      <c r="AW19" s="89"/>
      <c r="AX19" s="312"/>
      <c r="AY19" s="28"/>
    </row>
    <row r="24" spans="1:51" ht="50.1" customHeight="1">
      <c r="AI24" s="365"/>
    </row>
  </sheetData>
  <sheetProtection formatCells="0" autoFilter="0"/>
  <autoFilter ref="A6:AY19" xr:uid="{56751472-C9C8-4D86-9914-E43DA01ACD76}"/>
  <mergeCells count="53"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  <mergeCell ref="I3:I5"/>
    <mergeCell ref="AX3:AX5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V3:V5"/>
    <mergeCell ref="W3:W5"/>
    <mergeCell ref="AI4:AK4"/>
    <mergeCell ref="M3:M5"/>
    <mergeCell ref="AB4:AB5"/>
    <mergeCell ref="AC4:AE4"/>
    <mergeCell ref="P3:P5"/>
    <mergeCell ref="AF4:AF5"/>
    <mergeCell ref="AH4:AH5"/>
    <mergeCell ref="AN1:AQ1"/>
    <mergeCell ref="AS1:AV1"/>
    <mergeCell ref="X3:X5"/>
    <mergeCell ref="B7:G7"/>
    <mergeCell ref="Q3:Q5"/>
    <mergeCell ref="S3:S5"/>
    <mergeCell ref="T3:T5"/>
    <mergeCell ref="H3:H5"/>
    <mergeCell ref="L3:L5"/>
    <mergeCell ref="J3:J5"/>
    <mergeCell ref="K3:K5"/>
    <mergeCell ref="R3:R5"/>
    <mergeCell ref="Z3:Z5"/>
    <mergeCell ref="AB3:AF3"/>
    <mergeCell ref="AH3:AL3"/>
    <mergeCell ref="U3:U5"/>
  </mergeCells>
  <phoneticPr fontId="1" type="noConversion"/>
  <conditionalFormatting sqref="F1:G2 F6:G6 F20:G1048576">
    <cfRule type="containsText" dxfId="845" priority="3220" operator="containsText" text="직접입력">
      <formula>NOT(ISERROR(SEARCH("직접입력",F1)))</formula>
    </cfRule>
  </conditionalFormatting>
  <conditionalFormatting sqref="O1:O2 O20:O1048576 M6:O6">
    <cfRule type="containsText" dxfId="844" priority="3219" operator="containsText" text="금액입력">
      <formula>NOT(ISERROR(SEARCH("금액입력",M1)))</formula>
    </cfRule>
  </conditionalFormatting>
  <conditionalFormatting sqref="K1:K6 K8 K20:K1048576">
    <cfRule type="containsText" dxfId="843" priority="3218" operator="containsText" text="세부사업명 입력">
      <formula>NOT(ISERROR(SEARCH("세부사업명 입력",K1)))</formula>
    </cfRule>
  </conditionalFormatting>
  <conditionalFormatting sqref="L1:N2 L20:N1048576 L3:L6 L8">
    <cfRule type="containsText" dxfId="842" priority="3217" operator="containsText" text="부기명 입력">
      <formula>NOT(ISERROR(SEARCH("부기명 입력",L1)))</formula>
    </cfRule>
  </conditionalFormatting>
  <conditionalFormatting sqref="AD8:AD1826">
    <cfRule type="expression" dxfId="841" priority="3216">
      <formula>FIND("(지방채)",$L8)&gt;0</formula>
    </cfRule>
  </conditionalFormatting>
  <conditionalFormatting sqref="AJ8:AJ1826">
    <cfRule type="expression" dxfId="840" priority="3215">
      <formula>FIND("(지방채)",$L8)&gt;0</formula>
    </cfRule>
  </conditionalFormatting>
  <conditionalFormatting sqref="AS8:AS1826">
    <cfRule type="expression" dxfId="839" priority="3211">
      <formula>FIND("(지역개발기금)",$L8)&gt;0</formula>
    </cfRule>
    <cfRule type="expression" dxfId="838" priority="3214">
      <formula>FIND("(지방채)",$L8)&gt;0</formula>
    </cfRule>
  </conditionalFormatting>
  <conditionalFormatting sqref="AE8:AE1826">
    <cfRule type="expression" dxfId="837" priority="3213">
      <formula>FIND("(지역개발기금)",$L8)&gt;0</formula>
    </cfRule>
  </conditionalFormatting>
  <conditionalFormatting sqref="AK8:AK1826">
    <cfRule type="expression" dxfId="836" priority="3212">
      <formula>FIND("(지역개발기금)",$L8)&gt;0</formula>
    </cfRule>
  </conditionalFormatting>
  <conditionalFormatting sqref="AC20:AC1048576 AC1:AC5">
    <cfRule type="containsText" dxfId="835" priority="3210" operator="containsText" text="국비입력필요">
      <formula>NOT(ISERROR(SEARCH("국비입력필요",AC1)))</formula>
    </cfRule>
  </conditionalFormatting>
  <conditionalFormatting sqref="AC20:AC1048576 AC1:AC5 AI1:AI5 AI25:AI1048576 AI8:AI23">
    <cfRule type="containsText" dxfId="834" priority="3209" operator="containsText" text="입력필요">
      <formula>NOT(ISERROR(SEARCH("입력필요",AC1)))</formula>
    </cfRule>
  </conditionalFormatting>
  <conditionalFormatting sqref="O8:O19">
    <cfRule type="containsText" dxfId="833" priority="2857" operator="containsText" text="금액입력">
      <formula>NOT(ISERROR(SEARCH("금액입력",O8)))</formula>
    </cfRule>
  </conditionalFormatting>
  <conditionalFormatting sqref="K7">
    <cfRule type="containsText" dxfId="832" priority="2764" operator="containsText" text="세부사업명 입력">
      <formula>NOT(ISERROR(SEARCH("세부사업명 입력",K7)))</formula>
    </cfRule>
  </conditionalFormatting>
  <conditionalFormatting sqref="L7">
    <cfRule type="containsText" dxfId="831" priority="2763" operator="containsText" text="부기명 입력">
      <formula>NOT(ISERROR(SEARCH("부기명 입력",L7)))</formula>
    </cfRule>
  </conditionalFormatting>
  <conditionalFormatting sqref="O7:S7">
    <cfRule type="containsText" dxfId="830" priority="2758" operator="containsText" text="금액입력">
      <formula>NOT(ISERROR(SEARCH("금액입력",O7)))</formula>
    </cfRule>
  </conditionalFormatting>
  <conditionalFormatting sqref="F3:G5">
    <cfRule type="containsText" dxfId="829" priority="2661" operator="containsText" text="직접입력">
      <formula>NOT(ISERROR(SEARCH("직접입력",F3)))</formula>
    </cfRule>
  </conditionalFormatting>
  <conditionalFormatting sqref="O3:O5">
    <cfRule type="containsText" dxfId="828" priority="2657" operator="containsText" text="금액입력">
      <formula>NOT(ISERROR(SEARCH("금액입력",O3)))</formula>
    </cfRule>
  </conditionalFormatting>
  <conditionalFormatting sqref="AC8:AC19">
    <cfRule type="containsText" dxfId="827" priority="2485" operator="containsText" text="국비입력필요">
      <formula>NOT(ISERROR(SEARCH("국비입력필요",AC8)))</formula>
    </cfRule>
  </conditionalFormatting>
  <conditionalFormatting sqref="AC8:AC19">
    <cfRule type="containsText" dxfId="826" priority="2484" operator="containsText" text="입력필요">
      <formula>NOT(ISERROR(SEARCH("입력필요",AC8)))</formula>
    </cfRule>
  </conditionalFormatting>
  <conditionalFormatting sqref="AC7">
    <cfRule type="containsText" dxfId="825" priority="660" operator="containsText" text="국비입력필요">
      <formula>NOT(ISERROR(SEARCH("국비입력필요",AC7)))</formula>
    </cfRule>
  </conditionalFormatting>
  <conditionalFormatting sqref="AC7 AI7">
    <cfRule type="containsText" dxfId="824" priority="659" operator="containsText" text="입력필요">
      <formula>NOT(ISERROR(SEARCH("입력필요",AC7)))</formula>
    </cfRule>
  </conditionalFormatting>
  <conditionalFormatting sqref="AV6 AT6 AQ6 AO6 AL6 AF6 AI24">
    <cfRule type="containsText" dxfId="823" priority="1734" operator="containsText" text="@@">
      <formula>NOT(ISERROR(SEARCH("@@",AF6)))</formula>
    </cfRule>
  </conditionalFormatting>
  <conditionalFormatting sqref="AF8:AF19">
    <cfRule type="containsText" dxfId="822" priority="1733" operator="containsText" text="@@">
      <formula>NOT(ISERROR(SEARCH("@@",AF8)))</formula>
    </cfRule>
  </conditionalFormatting>
  <conditionalFormatting sqref="AQ8:AQ19">
    <cfRule type="containsText" dxfId="821" priority="1731" operator="containsText" text="@@">
      <formula>NOT(ISERROR(SEARCH("@@",AQ8)))</formula>
    </cfRule>
  </conditionalFormatting>
  <conditionalFormatting sqref="AV8:AV19">
    <cfRule type="containsText" dxfId="820" priority="1730" operator="containsText" text="@@">
      <formula>NOT(ISERROR(SEARCH("@@",AV8)))</formula>
    </cfRule>
  </conditionalFormatting>
  <conditionalFormatting sqref="AL8:AL19">
    <cfRule type="containsText" dxfId="819" priority="1157" operator="containsText" text="@@">
      <formula>NOT(ISERROR(SEARCH("@@",AL8)))</formula>
    </cfRule>
  </conditionalFormatting>
  <conditionalFormatting sqref="AO8:AO19">
    <cfRule type="containsText" dxfId="818" priority="1150" operator="containsText" text="@@">
      <formula>NOT(ISERROR(SEARCH("@@",AO8)))</formula>
    </cfRule>
  </conditionalFormatting>
  <conditionalFormatting sqref="AT8:AT19">
    <cfRule type="containsText" dxfId="817" priority="1149" operator="containsText" text="@@">
      <formula>NOT(ISERROR(SEARCH("@@",AT8)))</formula>
    </cfRule>
  </conditionalFormatting>
  <conditionalFormatting sqref="M3:M5">
    <cfRule type="containsText" dxfId="816" priority="426" operator="containsText" text="금액입력">
      <formula>NOT(ISERROR(SEARCH("금액입력",M3)))</formula>
    </cfRule>
  </conditionalFormatting>
  <conditionalFormatting sqref="N3:N5">
    <cfRule type="containsText" dxfId="815" priority="425" operator="containsText" text="금액입력">
      <formula>NOT(ISERROR(SEARCH("금액입력",N3)))</formula>
    </cfRule>
  </conditionalFormatting>
  <conditionalFormatting sqref="F7:G7">
    <cfRule type="containsText" dxfId="814" priority="340" operator="containsText" text="직접입력">
      <formula>NOT(ISERROR(SEARCH("직접입력",F7)))</formula>
    </cfRule>
  </conditionalFormatting>
  <conditionalFormatting sqref="C8:C19">
    <cfRule type="containsText" dxfId="813" priority="319" operator="containsText" text="직접입력">
      <formula>NOT(ISERROR(SEARCH("직접입력",C8)))</formula>
    </cfRule>
  </conditionalFormatting>
  <conditionalFormatting sqref="B8:B19">
    <cfRule type="containsText" dxfId="812" priority="318" operator="containsText" text="직접입력">
      <formula>NOT(ISERROR(SEARCH("직접입력",B8)))</formula>
    </cfRule>
  </conditionalFormatting>
  <conditionalFormatting sqref="M7:N7">
    <cfRule type="containsText" dxfId="811" priority="292" operator="containsText" text="금액입력">
      <formula>NOT(ISERROR(SEARCH("금액입력",M7)))</formula>
    </cfRule>
  </conditionalFormatting>
  <conditionalFormatting sqref="F8:G8">
    <cfRule type="containsText" dxfId="810" priority="71" operator="containsText" text="직접입력">
      <formula>NOT(ISERROR(SEARCH("직접입력",F8)))</formula>
    </cfRule>
  </conditionalFormatting>
  <conditionalFormatting sqref="M8">
    <cfRule type="containsText" dxfId="809" priority="50" operator="containsText" text="부기명 입력">
      <formula>NOT(ISERROR(SEARCH("부기명 입력",M8)))</formula>
    </cfRule>
  </conditionalFormatting>
  <conditionalFormatting sqref="M8">
    <cfRule type="containsText" dxfId="808" priority="49" operator="containsText" text="금액입력">
      <formula>NOT(ISERROR(SEARCH("금액입력",M8)))</formula>
    </cfRule>
  </conditionalFormatting>
  <conditionalFormatting sqref="N8 N18:N19">
    <cfRule type="containsText" dxfId="807" priority="48" operator="containsText" text="금액입력">
      <formula>NOT(ISERROR(SEARCH("금액입력",N8)))</formula>
    </cfRule>
  </conditionalFormatting>
  <conditionalFormatting sqref="F15:G17">
    <cfRule type="containsText" dxfId="806" priority="32" operator="containsText" text="직접입력">
      <formula>NOT(ISERROR(SEARCH("직접입력",F15)))</formula>
    </cfRule>
  </conditionalFormatting>
  <conditionalFormatting sqref="F9:G9">
    <cfRule type="containsText" dxfId="805" priority="31" operator="containsText" text="직접입력">
      <formula>NOT(ISERROR(SEARCH("직접입력",F9)))</formula>
    </cfRule>
  </conditionalFormatting>
  <conditionalFormatting sqref="F12:G13">
    <cfRule type="containsText" dxfId="804" priority="30" operator="containsText" text="직접입력">
      <formula>NOT(ISERROR(SEARCH("직접입력",F12)))</formula>
    </cfRule>
  </conditionalFormatting>
  <conditionalFormatting sqref="F14:G14">
    <cfRule type="containsText" dxfId="803" priority="29" operator="containsText" text="직접입력">
      <formula>NOT(ISERROR(SEARCH("직접입력",F14)))</formula>
    </cfRule>
  </conditionalFormatting>
  <conditionalFormatting sqref="F11:G11">
    <cfRule type="containsText" dxfId="802" priority="28" operator="containsText" text="직접입력">
      <formula>NOT(ISERROR(SEARCH("직접입력",F11)))</formula>
    </cfRule>
  </conditionalFormatting>
  <conditionalFormatting sqref="F10:G10">
    <cfRule type="containsText" dxfId="801" priority="27" operator="containsText" text="직접입력">
      <formula>NOT(ISERROR(SEARCH("직접입력",F10)))</formula>
    </cfRule>
  </conditionalFormatting>
  <conditionalFormatting sqref="K9 K15:K17">
    <cfRule type="containsText" dxfId="800" priority="26" operator="containsText" text="세부사업명 입력">
      <formula>NOT(ISERROR(SEARCH("세부사업명 입력",K9)))</formula>
    </cfRule>
  </conditionalFormatting>
  <conditionalFormatting sqref="L9 L15:L17">
    <cfRule type="containsText" dxfId="799" priority="25" operator="containsText" text="부기명 입력">
      <formula>NOT(ISERROR(SEARCH("부기명 입력",L9)))</formula>
    </cfRule>
  </conditionalFormatting>
  <conditionalFormatting sqref="K12:K14">
    <cfRule type="containsText" dxfId="798" priority="24" operator="containsText" text="세부사업명 입력">
      <formula>NOT(ISERROR(SEARCH("세부사업명 입력",K12)))</formula>
    </cfRule>
  </conditionalFormatting>
  <conditionalFormatting sqref="L12:L14">
    <cfRule type="containsText" dxfId="797" priority="23" operator="containsText" text="부기명 입력">
      <formula>NOT(ISERROR(SEARCH("부기명 입력",L12)))</formula>
    </cfRule>
  </conditionalFormatting>
  <conditionalFormatting sqref="K11">
    <cfRule type="containsText" dxfId="796" priority="22" operator="containsText" text="세부사업명 입력">
      <formula>NOT(ISERROR(SEARCH("세부사업명 입력",K11)))</formula>
    </cfRule>
  </conditionalFormatting>
  <conditionalFormatting sqref="L11">
    <cfRule type="containsText" dxfId="795" priority="21" operator="containsText" text="부기명 입력">
      <formula>NOT(ISERROR(SEARCH("부기명 입력",L11)))</formula>
    </cfRule>
  </conditionalFormatting>
  <conditionalFormatting sqref="K10">
    <cfRule type="containsText" dxfId="794" priority="20" operator="containsText" text="세부사업명 입력">
      <formula>NOT(ISERROR(SEARCH("세부사업명 입력",K10)))</formula>
    </cfRule>
  </conditionalFormatting>
  <conditionalFormatting sqref="L10">
    <cfRule type="containsText" dxfId="793" priority="19" operator="containsText" text="부기명 입력">
      <formula>NOT(ISERROR(SEARCH("부기명 입력",L10)))</formula>
    </cfRule>
  </conditionalFormatting>
  <conditionalFormatting sqref="M15:M17">
    <cfRule type="containsText" dxfId="792" priority="18" operator="containsText" text="부기명 입력">
      <formula>NOT(ISERROR(SEARCH("부기명 입력",M15)))</formula>
    </cfRule>
  </conditionalFormatting>
  <conditionalFormatting sqref="M15:N17">
    <cfRule type="containsText" dxfId="791" priority="17" operator="containsText" text="금액입력">
      <formula>NOT(ISERROR(SEARCH("금액입력",M15)))</formula>
    </cfRule>
  </conditionalFormatting>
  <conditionalFormatting sqref="M9">
    <cfRule type="containsText" dxfId="790" priority="16" operator="containsText" text="부기명 입력">
      <formula>NOT(ISERROR(SEARCH("부기명 입력",M9)))</formula>
    </cfRule>
  </conditionalFormatting>
  <conditionalFormatting sqref="M9">
    <cfRule type="containsText" dxfId="789" priority="15" operator="containsText" text="금액입력">
      <formula>NOT(ISERROR(SEARCH("금액입력",M9)))</formula>
    </cfRule>
  </conditionalFormatting>
  <conditionalFormatting sqref="N9">
    <cfRule type="containsText" dxfId="788" priority="14" operator="containsText" text="금액입력">
      <formula>NOT(ISERROR(SEARCH("금액입력",N9)))</formula>
    </cfRule>
  </conditionalFormatting>
  <conditionalFormatting sqref="M12:M14">
    <cfRule type="containsText" dxfId="787" priority="13" operator="containsText" text="부기명 입력">
      <formula>NOT(ISERROR(SEARCH("부기명 입력",M12)))</formula>
    </cfRule>
  </conditionalFormatting>
  <conditionalFormatting sqref="M12:M14">
    <cfRule type="containsText" dxfId="786" priority="12" operator="containsText" text="금액입력">
      <formula>NOT(ISERROR(SEARCH("금액입력",M12)))</formula>
    </cfRule>
  </conditionalFormatting>
  <conditionalFormatting sqref="N12:N14">
    <cfRule type="containsText" dxfId="785" priority="11" operator="containsText" text="금액입력">
      <formula>NOT(ISERROR(SEARCH("금액입력",N12)))</formula>
    </cfRule>
  </conditionalFormatting>
  <conditionalFormatting sqref="M11">
    <cfRule type="containsText" dxfId="784" priority="10" operator="containsText" text="부기명 입력">
      <formula>NOT(ISERROR(SEARCH("부기명 입력",M11)))</formula>
    </cfRule>
  </conditionalFormatting>
  <conditionalFormatting sqref="M11">
    <cfRule type="containsText" dxfId="783" priority="9" operator="containsText" text="금액입력">
      <formula>NOT(ISERROR(SEARCH("금액입력",M11)))</formula>
    </cfRule>
  </conditionalFormatting>
  <conditionalFormatting sqref="N11">
    <cfRule type="containsText" dxfId="782" priority="8" operator="containsText" text="금액입력">
      <formula>NOT(ISERROR(SEARCH("금액입력",N11)))</formula>
    </cfRule>
  </conditionalFormatting>
  <conditionalFormatting sqref="M10">
    <cfRule type="containsText" dxfId="781" priority="7" operator="containsText" text="부기명 입력">
      <formula>NOT(ISERROR(SEARCH("부기명 입력",M10)))</formula>
    </cfRule>
  </conditionalFormatting>
  <conditionalFormatting sqref="M10:N10">
    <cfRule type="containsText" dxfId="780" priority="6" operator="containsText" text="금액입력">
      <formula>NOT(ISERROR(SEARCH("금액입력",M10)))</formula>
    </cfRule>
  </conditionalFormatting>
  <conditionalFormatting sqref="F18:G19">
    <cfRule type="containsText" dxfId="779" priority="5" operator="containsText" text="직접입력">
      <formula>NOT(ISERROR(SEARCH("직접입력",F18)))</formula>
    </cfRule>
  </conditionalFormatting>
  <conditionalFormatting sqref="K18:K19">
    <cfRule type="containsText" dxfId="778" priority="4" operator="containsText" text="세부사업명 입력">
      <formula>NOT(ISERROR(SEARCH("세부사업명 입력",K18)))</formula>
    </cfRule>
  </conditionalFormatting>
  <conditionalFormatting sqref="L18:L19">
    <cfRule type="containsText" dxfId="777" priority="3" operator="containsText" text="부기명 입력">
      <formula>NOT(ISERROR(SEARCH("부기명 입력",L18)))</formula>
    </cfRule>
  </conditionalFormatting>
  <conditionalFormatting sqref="M18:M19">
    <cfRule type="containsText" dxfId="776" priority="2" operator="containsText" text="부기명 입력">
      <formula>NOT(ISERROR(SEARCH("부기명 입력",M18)))</formula>
    </cfRule>
  </conditionalFormatting>
  <conditionalFormatting sqref="M18:M19">
    <cfRule type="containsText" dxfId="775" priority="1" operator="containsText" text="금액입력">
      <formula>NOT(ISERROR(SEARCH("금액입력",M18)))</formula>
    </cfRule>
  </conditionalFormatting>
  <dataValidations count="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8:W19" xr:uid="{00000000-0002-0000-0600-000002000000}">
      <formula1>"동의, 부동의, 미실시"</formula1>
    </dataValidation>
    <dataValidation type="custom" allowBlank="1" showInputMessage="1" showErrorMessage="1" sqref="B8:B19" xr:uid="{2DA399B1-6BD6-4C3A-932A-F0ACD228D91F}">
      <formula1>"농정해양위원회"</formula1>
    </dataValidation>
    <dataValidation type="list" allowBlank="1" showInputMessage="1" showErrorMessage="1" sqref="E8:E19" xr:uid="{04595F25-D060-4904-AB07-9DA239BCBC1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DB78358-8656-4C1E-9794-8B4B69A0B380}">
          <x14:formula1>
            <xm:f>구분표!$W$3:$W$28</xm:f>
          </x14:formula1>
          <xm:sqref>D8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C8:C19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activeCell="A48" sqref="A48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14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14" customWidth="1"/>
    <col min="28" max="28" width="2.625" style="20" customWidth="1"/>
    <col min="29" max="30" width="25.625" style="414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14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14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890" t="s">
        <v>1101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  <c r="Q1" s="890"/>
      <c r="R1" s="890"/>
      <c r="S1" s="890"/>
      <c r="T1" s="890"/>
      <c r="U1" s="890"/>
      <c r="V1" s="890"/>
      <c r="W1" s="890"/>
      <c r="X1" s="890"/>
      <c r="Z1" s="897" t="s">
        <v>1047</v>
      </c>
      <c r="AA1" s="899"/>
      <c r="AC1" s="894" t="s">
        <v>1047</v>
      </c>
      <c r="AD1" s="896"/>
      <c r="AF1" s="408" t="s">
        <v>1090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49"/>
      <c r="N2" s="449"/>
      <c r="O2" s="449"/>
      <c r="P2" s="449"/>
      <c r="Q2" s="450">
        <f>Q6-M6</f>
        <v>0</v>
      </c>
      <c r="X2" s="50"/>
      <c r="Z2" s="455" t="s">
        <v>1124</v>
      </c>
      <c r="AA2" s="512" t="s">
        <v>1125</v>
      </c>
      <c r="AC2" s="455" t="s">
        <v>1124</v>
      </c>
      <c r="AD2" s="512" t="s">
        <v>1125</v>
      </c>
      <c r="AK2" s="455" t="s">
        <v>1052</v>
      </c>
      <c r="AM2" s="53"/>
      <c r="AO2" s="455" t="s">
        <v>1052</v>
      </c>
      <c r="AQ2" s="53"/>
    </row>
    <row r="3" spans="1:43" ht="24.75" customHeight="1">
      <c r="A3" s="22"/>
      <c r="N3" s="416"/>
      <c r="O3" s="416"/>
      <c r="P3" s="416"/>
      <c r="Q3" s="416"/>
      <c r="R3" s="73"/>
      <c r="W3" s="314"/>
      <c r="X3" s="70" t="s">
        <v>114</v>
      </c>
      <c r="Z3" s="428" t="str">
        <f>IF(Z6='4. 특출'!AB5,"OK","@@")</f>
        <v>OK</v>
      </c>
      <c r="AA3" s="428" t="str">
        <f>IF(AA6='4. 특출'!AC5,"OK","@@")</f>
        <v>OK</v>
      </c>
      <c r="AC3" s="428" t="str">
        <f>IF(AC6='4. 특출'!AF5,"OK","@@")</f>
        <v>OK</v>
      </c>
      <c r="AD3" s="428" t="str">
        <f>IF(AD6='4. 특출'!AG5,"OK","@@")</f>
        <v>OK</v>
      </c>
      <c r="AK3" s="452" t="str">
        <f>IF(Z6=AK6,"OK","@@")</f>
        <v>OK</v>
      </c>
      <c r="AL3" s="349"/>
      <c r="AM3" s="348"/>
      <c r="AO3" s="452" t="str">
        <f>IF(AC6=AO6,"OK","@@")</f>
        <v>OK</v>
      </c>
      <c r="AP3" s="349"/>
      <c r="AQ3" s="348"/>
    </row>
    <row r="4" spans="1:43" s="294" customFormat="1" ht="60" customHeight="1">
      <c r="A4" s="885" t="s">
        <v>184</v>
      </c>
      <c r="B4" s="889" t="s">
        <v>110</v>
      </c>
      <c r="C4" s="889" t="s">
        <v>111</v>
      </c>
      <c r="D4" s="889" t="s">
        <v>112</v>
      </c>
      <c r="E4" s="891" t="s">
        <v>113</v>
      </c>
      <c r="F4" s="891" t="s">
        <v>1117</v>
      </c>
      <c r="G4" s="891" t="s">
        <v>251</v>
      </c>
      <c r="H4" s="931" t="s">
        <v>505</v>
      </c>
      <c r="I4" s="885" t="s">
        <v>760</v>
      </c>
      <c r="J4" s="885" t="s">
        <v>504</v>
      </c>
      <c r="K4" s="887" t="s">
        <v>2040</v>
      </c>
      <c r="L4" s="887" t="s">
        <v>1693</v>
      </c>
      <c r="M4" s="887" t="s">
        <v>1109</v>
      </c>
      <c r="N4" s="867" t="s">
        <v>1110</v>
      </c>
      <c r="O4" s="866" t="s">
        <v>1113</v>
      </c>
      <c r="P4" s="867" t="s">
        <v>1111</v>
      </c>
      <c r="Q4" s="866" t="s">
        <v>1112</v>
      </c>
      <c r="R4" s="893" t="s">
        <v>253</v>
      </c>
      <c r="S4" s="866" t="s">
        <v>255</v>
      </c>
      <c r="T4" s="866" t="s">
        <v>254</v>
      </c>
      <c r="U4" s="866" t="s">
        <v>256</v>
      </c>
      <c r="V4" s="866" t="s">
        <v>762</v>
      </c>
      <c r="W4" s="866" t="s">
        <v>761</v>
      </c>
      <c r="X4" s="891" t="s">
        <v>115</v>
      </c>
      <c r="Y4" s="293"/>
      <c r="Z4" s="905" t="s">
        <v>117</v>
      </c>
      <c r="AA4" s="905"/>
      <c r="AC4" s="907" t="s">
        <v>121</v>
      </c>
      <c r="AD4" s="907"/>
      <c r="AF4" s="880" t="s">
        <v>122</v>
      </c>
      <c r="AG4" s="953" t="s">
        <v>116</v>
      </c>
      <c r="AI4" s="878" t="s">
        <v>1051</v>
      </c>
      <c r="AK4" s="935" t="s">
        <v>124</v>
      </c>
      <c r="AL4" s="935"/>
      <c r="AM4" s="935"/>
      <c r="AO4" s="937" t="s">
        <v>127</v>
      </c>
      <c r="AP4" s="937"/>
      <c r="AQ4" s="937"/>
    </row>
    <row r="5" spans="1:43" s="294" customFormat="1" ht="60" customHeight="1">
      <c r="A5" s="885"/>
      <c r="B5" s="889"/>
      <c r="C5" s="889"/>
      <c r="D5" s="889"/>
      <c r="E5" s="891"/>
      <c r="F5" s="891"/>
      <c r="G5" s="891"/>
      <c r="H5" s="933"/>
      <c r="I5" s="885"/>
      <c r="J5" s="885"/>
      <c r="K5" s="888"/>
      <c r="L5" s="888"/>
      <c r="M5" s="888"/>
      <c r="N5" s="869"/>
      <c r="O5" s="892"/>
      <c r="P5" s="869"/>
      <c r="Q5" s="892"/>
      <c r="R5" s="893"/>
      <c r="S5" s="866"/>
      <c r="T5" s="866"/>
      <c r="U5" s="866"/>
      <c r="V5" s="866"/>
      <c r="W5" s="866"/>
      <c r="X5" s="889"/>
      <c r="Y5" s="293"/>
      <c r="Z5" s="453" t="s">
        <v>118</v>
      </c>
      <c r="AA5" s="453" t="s">
        <v>119</v>
      </c>
      <c r="AC5" s="429" t="s">
        <v>118</v>
      </c>
      <c r="AD5" s="429" t="s">
        <v>119</v>
      </c>
      <c r="AF5" s="880"/>
      <c r="AG5" s="953"/>
      <c r="AI5" s="880"/>
      <c r="AK5" s="429" t="s">
        <v>125</v>
      </c>
      <c r="AL5" s="295" t="s">
        <v>126</v>
      </c>
      <c r="AM5" s="340" t="s">
        <v>1079</v>
      </c>
      <c r="AO5" s="429" t="s">
        <v>125</v>
      </c>
      <c r="AP5" s="295" t="s">
        <v>126</v>
      </c>
      <c r="AQ5" s="340" t="s">
        <v>1079</v>
      </c>
    </row>
    <row r="6" spans="1:43" s="358" customFormat="1" ht="80.099999999999994" customHeight="1">
      <c r="A6" s="356"/>
      <c r="B6" s="149" t="s">
        <v>252</v>
      </c>
      <c r="C6" s="361"/>
      <c r="D6" s="361"/>
      <c r="E6" s="361"/>
      <c r="F6" s="361"/>
      <c r="G6" s="361"/>
      <c r="H6" s="354"/>
      <c r="I6" s="354"/>
      <c r="J6" s="355" t="str">
        <f>SUBTOTAL(3,J$7:J$2000)&amp;"건"</f>
        <v>0건</v>
      </c>
      <c r="K6" s="451">
        <f t="shared" ref="K6:Q6" si="0">SUBTOTAL(9,K$7:K$2000)</f>
        <v>0</v>
      </c>
      <c r="L6" s="451">
        <f t="shared" si="0"/>
        <v>0</v>
      </c>
      <c r="M6" s="451">
        <f t="shared" si="0"/>
        <v>0</v>
      </c>
      <c r="N6" s="451">
        <f t="shared" si="0"/>
        <v>0</v>
      </c>
      <c r="O6" s="451">
        <f t="shared" si="0"/>
        <v>0</v>
      </c>
      <c r="P6" s="451">
        <f t="shared" si="0"/>
        <v>0</v>
      </c>
      <c r="Q6" s="451">
        <f t="shared" si="0"/>
        <v>0</v>
      </c>
      <c r="R6" s="362"/>
      <c r="S6" s="362"/>
      <c r="T6" s="362"/>
      <c r="U6" s="362"/>
      <c r="V6" s="362"/>
      <c r="W6" s="362"/>
      <c r="X6" s="363"/>
      <c r="Y6" s="364"/>
      <c r="Z6" s="451">
        <f>SUBTOTAL(9,Z$7:Z$2000)</f>
        <v>0</v>
      </c>
      <c r="AA6" s="451">
        <f>SUBTOTAL(9,AA$7:AA$2000)</f>
        <v>0</v>
      </c>
      <c r="AC6" s="451">
        <f>SUBTOTAL(9,AC$7:AC$2000)</f>
        <v>0</v>
      </c>
      <c r="AD6" s="451">
        <f>SUBTOTAL(9,AD$7:AD$2000)</f>
        <v>0</v>
      </c>
      <c r="AF6" s="360"/>
      <c r="AG6" s="360"/>
      <c r="AI6" s="360"/>
      <c r="AK6" s="451">
        <f>SUBTOTAL(9,AK$7:AK$2000)</f>
        <v>0</v>
      </c>
      <c r="AL6" s="150">
        <f>SUBTOTAL(9,AL$7:AL$2000)</f>
        <v>0</v>
      </c>
      <c r="AM6" s="360" t="str">
        <f>IF(COUNTIF(AM$7:AM$2000,"@@")&gt;0,"@@","OK")</f>
        <v>OK</v>
      </c>
      <c r="AO6" s="451">
        <f>SUBTOTAL(9,AO$7:AO$2000)</f>
        <v>0</v>
      </c>
      <c r="AP6" s="150">
        <f>SUBTOTAL(9,AP$7:AP$2000)</f>
        <v>0</v>
      </c>
      <c r="AQ6" s="360" t="str">
        <f>IF(COUNTIF(AQ$7:AQ$2000,"@@")&gt;0,"@@","OK")</f>
        <v>OK</v>
      </c>
    </row>
    <row r="7" spans="1:43" ht="69.95" customHeight="1">
      <c r="A7" s="141"/>
      <c r="B7" s="886" t="s">
        <v>769</v>
      </c>
      <c r="C7" s="886"/>
      <c r="D7" s="886"/>
      <c r="E7" s="886"/>
      <c r="F7" s="886"/>
      <c r="G7" s="886"/>
      <c r="H7" s="142"/>
      <c r="I7" s="142"/>
      <c r="J7" s="313" t="str">
        <f>SUBTOTAL(3,J8:J11)&amp;"건"</f>
        <v>0건</v>
      </c>
      <c r="K7" s="418">
        <f t="shared" ref="K7:Q7" si="1">SUBTOTAL(9,K8:K11)</f>
        <v>0</v>
      </c>
      <c r="L7" s="418">
        <f t="shared" si="1"/>
        <v>0</v>
      </c>
      <c r="M7" s="418">
        <f t="shared" si="1"/>
        <v>0</v>
      </c>
      <c r="N7" s="418">
        <f t="shared" si="1"/>
        <v>0</v>
      </c>
      <c r="O7" s="418">
        <f t="shared" si="1"/>
        <v>0</v>
      </c>
      <c r="P7" s="418">
        <f t="shared" si="1"/>
        <v>0</v>
      </c>
      <c r="Q7" s="418">
        <f t="shared" si="1"/>
        <v>0</v>
      </c>
      <c r="R7" s="141"/>
      <c r="S7" s="141"/>
      <c r="T7" s="141"/>
      <c r="U7" s="141"/>
      <c r="V7" s="141"/>
      <c r="W7" s="141"/>
      <c r="X7" s="143"/>
      <c r="Y7" s="42"/>
      <c r="Z7" s="418">
        <f>SUBTOTAL(9,Z8:Z11)</f>
        <v>0</v>
      </c>
      <c r="AA7" s="418">
        <f>SUBTOTAL(9,AA8:AA11)</f>
        <v>0</v>
      </c>
      <c r="AB7" s="43"/>
      <c r="AC7" s="418">
        <f>SUBTOTAL(9,AC8:AC11)</f>
        <v>0</v>
      </c>
      <c r="AD7" s="418">
        <f>SUBTOTAL(9,AD8:AD11)</f>
        <v>0</v>
      </c>
      <c r="AE7" s="43"/>
      <c r="AF7" s="141"/>
      <c r="AG7" s="143"/>
      <c r="AH7" s="43"/>
      <c r="AI7" s="143"/>
      <c r="AJ7" s="43"/>
      <c r="AK7" s="418">
        <f>SUBTOTAL(9,AK8:AK11)</f>
        <v>0</v>
      </c>
      <c r="AL7" s="418">
        <f>SUBTOTAL(9,AL8:AL11)</f>
        <v>0</v>
      </c>
      <c r="AM7" s="510" t="str">
        <f>IF(COUNTIF(AM8:AM11,"@@")&gt;0,"@@","OK")</f>
        <v>OK</v>
      </c>
      <c r="AN7" s="43"/>
      <c r="AO7" s="418">
        <f t="shared" ref="AO7:AP7" si="2">SUBTOTAL(9,AO8:AO11)</f>
        <v>0</v>
      </c>
      <c r="AP7" s="418">
        <f t="shared" si="2"/>
        <v>0</v>
      </c>
      <c r="AQ7" s="510" t="str">
        <f>IF(COUNTIF(AQ8:AQ11,"@@")&gt;0,"@@","OK")</f>
        <v>OK</v>
      </c>
    </row>
    <row r="8" spans="1:43" s="135" customFormat="1" ht="69.95" customHeight="1">
      <c r="A8" s="126" t="str">
        <f>IF(D8="","",COUNTA($C$7:C8)-COUNTBLANK($C$7:C8)+1)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IF(D8="","",IF(OR(D8="교육지원과"),"소방재난본부",VLOOKUP(D8,구분표!$A$3:$C$258,3,)))</f>
        <v/>
      </c>
      <c r="D8" s="194"/>
      <c r="E8" s="181"/>
      <c r="F8" s="350" t="str">
        <f>IF($E8="","",IF($E8="2추","직접입력","-"))</f>
        <v/>
      </c>
      <c r="G8" s="350" t="str">
        <f>IF($E8="","",IF($E8="2추","직접입력","-"))</f>
        <v/>
      </c>
      <c r="H8" s="182"/>
      <c r="I8" s="127" t="str">
        <f>IF(H8="","",VLOOKUP($H8,구분표!$O$3:$P$168,2,FALSE))</f>
        <v/>
      </c>
      <c r="J8" s="183"/>
      <c r="K8" s="419" t="str">
        <f>IF($E8="","",IF(OR($E8="2추", $E8="1추", $E8="본예산"), "금액입력", "-"))</f>
        <v/>
      </c>
      <c r="L8" s="419" t="str">
        <f>IF($E8="", "", IF($E8="2추","금액입력", "-"))</f>
        <v/>
      </c>
      <c r="M8" s="421" t="str">
        <f>IF($E8="","",SUM(K8:L8))</f>
        <v/>
      </c>
      <c r="N8" s="420"/>
      <c r="O8" s="421">
        <f>SUM(M8:N8)</f>
        <v>0</v>
      </c>
      <c r="P8" s="422"/>
      <c r="Q8" s="423">
        <f>SUM(M8,P8)</f>
        <v>0</v>
      </c>
      <c r="R8" s="133" t="str">
        <f t="shared" ref="R8" si="3">IF(AND((O8=0),(Q8&gt;0)),"O",IF(AND((N8&lt;0),(O8-Q8&lt;0)),"O","X"))</f>
        <v>X</v>
      </c>
      <c r="S8" s="198"/>
      <c r="T8" s="197"/>
      <c r="U8" s="199"/>
      <c r="V8" s="200"/>
      <c r="W8" s="199"/>
      <c r="X8" s="133" t="str">
        <f>IF($H8="","",IF(OR($H8="511-01", $H8="511-02", $H8="511-03", $H8="311-02", $H8="311-04", $H8="321-01"),"국비","도비"))</f>
        <v/>
      </c>
      <c r="Y8" s="195"/>
      <c r="Z8" s="454" t="str">
        <f>IF($X8="", "", IF($X8="국비",$N8, 0))</f>
        <v/>
      </c>
      <c r="AA8" s="454" t="str">
        <f>IF($X8="", "", IF($X8="도비",$N8, 0))</f>
        <v/>
      </c>
      <c r="AC8" s="454" t="str">
        <f>IF($X8="", "", IF($X8="국비",$P8, 0))</f>
        <v/>
      </c>
      <c r="AD8" s="454" t="str">
        <f>IF($X8="", "", IF($X8="도비",$P8, 0))</f>
        <v/>
      </c>
      <c r="AF8" s="336" t="str">
        <f>IF(AI8="","",IF($X8="도비","-",CONCATENATE(AI8,"-",COUNTIF($AI$7:AI8,AI8))))</f>
        <v/>
      </c>
      <c r="AG8" s="336" t="str">
        <f>IF($H8="","",IF($H8="511-01","국비",IF($H8="511-02","균특",IF($H8="511-03","기금",IF($H8="311-02","특교",IF($H8="311-04","소교",IF($H8="321-01","소멸","도비")))))))</f>
        <v/>
      </c>
      <c r="AI8" s="336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196"/>
      <c r="AK8" s="432" t="str">
        <f>IF($AF8="","",IF($AF8="-",0, SUMIFS('4. 특출'!$AB$6:$AB$2000,'4. 특출'!$AJ$6:$AJ$2000,$AF8)))</f>
        <v/>
      </c>
      <c r="AL8" s="339" t="str">
        <f>IF($AF8="","",IF($AF8="-", 0, COUNTIF('4. 특출'!$AJ$6:$AJ$2000,$AF8)))</f>
        <v/>
      </c>
      <c r="AM8" s="336" t="str">
        <f>IF($AF8="", "", IF($Z8=$AK8,"OK","@@"))</f>
        <v/>
      </c>
      <c r="AN8" s="196"/>
      <c r="AO8" s="432" t="str">
        <f>IF($AF8="","",IF($AF8="-",0, SUMIFS('4. 특출'!$AF$6:$AF$2000,'4. 특출'!$AJ$6:$AJ$2000,$AF8)))</f>
        <v/>
      </c>
      <c r="AP8" s="339" t="str">
        <f>IF($AF8="","",IF($AF8="-", 0, COUNTIF('4. 특출'!$AJ$6:$AJ$2000,$AF8)))</f>
        <v/>
      </c>
      <c r="AQ8" s="336" t="str">
        <f>IF($AF8="", "", IF($AC8=$AO8,"OK","@@"))</f>
        <v/>
      </c>
    </row>
    <row r="9" spans="1:43" s="135" customFormat="1" ht="69.95" customHeight="1">
      <c r="A9" s="126" t="str">
        <f>IF(D9="","",COUNTA($C$7:C9)-COUNTBLANK($C$7:C9)+1)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IF(D9="","",IF(OR(D9="교육지원과"),"소방재난본부",VLOOKUP(D9,구분표!$A$3:$C$258,3,)))</f>
        <v/>
      </c>
      <c r="D9" s="194"/>
      <c r="E9" s="181"/>
      <c r="F9" s="350" t="str">
        <f t="shared" ref="F9:G11" si="4">IF($E9="","",IF($E9="2추","직접입력","-"))</f>
        <v/>
      </c>
      <c r="G9" s="350" t="str">
        <f t="shared" si="4"/>
        <v/>
      </c>
      <c r="H9" s="182"/>
      <c r="I9" s="127" t="str">
        <f>IF(H9="","",VLOOKUP($H9,구분표!$O$3:$P$168,2,FALSE))</f>
        <v/>
      </c>
      <c r="J9" s="183"/>
      <c r="K9" s="419" t="str">
        <f t="shared" ref="K9:K11" si="5">IF($E9="","",IF(OR($E9="2추", $E9="1추", $E9="본예산"), "금액입력", "-"))</f>
        <v/>
      </c>
      <c r="L9" s="419" t="str">
        <f t="shared" ref="L9:L11" si="6">IF($E9="", "", IF($E9="2추","금액입력", "-"))</f>
        <v/>
      </c>
      <c r="M9" s="421" t="str">
        <f t="shared" ref="M9:M11" si="7">IF($E9="","",SUM(K9:L9))</f>
        <v/>
      </c>
      <c r="N9" s="420"/>
      <c r="O9" s="421">
        <f t="shared" ref="O9:O11" si="8">SUM(M9:N9)</f>
        <v>0</v>
      </c>
      <c r="P9" s="422"/>
      <c r="Q9" s="423">
        <f t="shared" ref="Q9:Q11" si="9">SUM(M9,P9)</f>
        <v>0</v>
      </c>
      <c r="R9" s="133" t="str">
        <f t="shared" ref="R9:R11" si="10">IF(AND((O9=0),(Q9&gt;0)),"O",IF(AND((N9&lt;0),(O9-Q9&lt;0)),"O","X"))</f>
        <v>X</v>
      </c>
      <c r="S9" s="198"/>
      <c r="T9" s="197"/>
      <c r="U9" s="199"/>
      <c r="V9" s="200"/>
      <c r="W9" s="199"/>
      <c r="X9" s="133" t="str">
        <f t="shared" ref="X9:X11" si="11">IF($H9="","",IF(OR($H9="511-01", $H9="511-02", $H9="511-03", $H9="311-02", $H9="311-04", $H9="321-01"),"국비","도비"))</f>
        <v/>
      </c>
      <c r="Y9" s="195"/>
      <c r="Z9" s="454" t="str">
        <f t="shared" ref="Z9:Z11" si="12">IF($X9="", "", IF($X9="국비",$N9, 0))</f>
        <v/>
      </c>
      <c r="AA9" s="454" t="str">
        <f t="shared" ref="AA9:AA11" si="13">IF($X9="", "", IF($X9="도비",$N9, 0))</f>
        <v/>
      </c>
      <c r="AC9" s="454" t="str">
        <f t="shared" ref="AC9:AC11" si="14">IF($X9="", "", IF($X9="국비",$P9, 0))</f>
        <v/>
      </c>
      <c r="AD9" s="454" t="str">
        <f t="shared" ref="AD9:AD11" si="15">IF($X9="", "", IF($X9="도비",$P9, 0))</f>
        <v/>
      </c>
      <c r="AF9" s="336" t="str">
        <f>IF(AI9="","",IF($X9="도비","-",CONCATENATE(AI9,"-",COUNTIF($AI$7:AI9,AI9))))</f>
        <v/>
      </c>
      <c r="AG9" s="336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36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196"/>
      <c r="AK9" s="432" t="str">
        <f>IF($AF9="","",IF($AF9="-",0, SUMIFS('4. 특출'!$AB$6:$AB$2000,'4. 특출'!$AJ$6:$AJ$2000,$AF9)))</f>
        <v/>
      </c>
      <c r="AL9" s="339" t="str">
        <f>IF($AF9="","",IF($AF9="-", 0, COUNTIF('4. 특출'!$AJ$6:$AJ$2000,$AF9)))</f>
        <v/>
      </c>
      <c r="AM9" s="336" t="str">
        <f t="shared" ref="AM9:AM11" si="17">IF($AF9="", "", IF($Z9=$AK9,"OK","@@"))</f>
        <v/>
      </c>
      <c r="AN9" s="196"/>
      <c r="AO9" s="432" t="str">
        <f>IF($AF9="","",IF($AF9="-",0, SUMIFS('4. 특출'!$AF$6:$AF$2000,'4. 특출'!$AJ$6:$AJ$2000,$AF9)))</f>
        <v/>
      </c>
      <c r="AP9" s="339" t="str">
        <f>IF($AF9="","",IF($AF9="-", 0, COUNTIF('4. 특출'!$AJ$6:$AJ$2000,$AF9)))</f>
        <v/>
      </c>
      <c r="AQ9" s="336" t="str">
        <f t="shared" ref="AQ9:AQ11" si="18">IF($AF9="", "", IF($AC9=$AO9,"OK","@@"))</f>
        <v/>
      </c>
    </row>
    <row r="10" spans="1:43" s="135" customFormat="1" ht="69.95" customHeight="1">
      <c r="A10" s="126" t="str">
        <f>IF(D10="","",COUNTA($C$7:C10)-COUNTBLANK($C$7:C10)+1)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IF(D10="","",IF(OR(D10="교육지원과"),"소방재난본부",VLOOKUP(D10,구분표!$A$3:$C$258,3,)))</f>
        <v/>
      </c>
      <c r="D10" s="194"/>
      <c r="E10" s="181"/>
      <c r="F10" s="350" t="str">
        <f t="shared" si="4"/>
        <v/>
      </c>
      <c r="G10" s="350" t="str">
        <f t="shared" si="4"/>
        <v/>
      </c>
      <c r="H10" s="182"/>
      <c r="I10" s="127" t="str">
        <f>IF(H10="","",VLOOKUP($H10,구분표!$O$3:$P$168,2,FALSE))</f>
        <v/>
      </c>
      <c r="J10" s="183"/>
      <c r="K10" s="419" t="str">
        <f t="shared" si="5"/>
        <v/>
      </c>
      <c r="L10" s="419" t="str">
        <f t="shared" si="6"/>
        <v/>
      </c>
      <c r="M10" s="421" t="str">
        <f t="shared" si="7"/>
        <v/>
      </c>
      <c r="N10" s="420"/>
      <c r="O10" s="421">
        <f t="shared" si="8"/>
        <v>0</v>
      </c>
      <c r="P10" s="422"/>
      <c r="Q10" s="423">
        <f t="shared" si="9"/>
        <v>0</v>
      </c>
      <c r="R10" s="133" t="str">
        <f t="shared" si="10"/>
        <v>X</v>
      </c>
      <c r="S10" s="198"/>
      <c r="T10" s="197"/>
      <c r="U10" s="199"/>
      <c r="V10" s="200"/>
      <c r="W10" s="199"/>
      <c r="X10" s="133" t="str">
        <f t="shared" si="11"/>
        <v/>
      </c>
      <c r="Y10" s="195"/>
      <c r="Z10" s="454" t="str">
        <f t="shared" si="12"/>
        <v/>
      </c>
      <c r="AA10" s="454" t="str">
        <f t="shared" si="13"/>
        <v/>
      </c>
      <c r="AC10" s="454" t="str">
        <f t="shared" si="14"/>
        <v/>
      </c>
      <c r="AD10" s="454" t="str">
        <f t="shared" si="15"/>
        <v/>
      </c>
      <c r="AF10" s="336" t="str">
        <f>IF(AI10="","",IF($X10="도비","-",CONCATENATE(AI10,"-",COUNTIF($AI$7:AI10,AI10))))</f>
        <v/>
      </c>
      <c r="AG10" s="336" t="str">
        <f t="shared" si="16"/>
        <v/>
      </c>
      <c r="AI10" s="336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196"/>
      <c r="AK10" s="432" t="str">
        <f>IF($AF10="","",IF($AF10="-",0, SUMIFS('4. 특출'!$AB$6:$AB$2000,'4. 특출'!$AJ$6:$AJ$2000,$AF10)))</f>
        <v/>
      </c>
      <c r="AL10" s="339" t="str">
        <f>IF($AF10="","",IF($AF10="-", 0, COUNTIF('4. 특출'!$AJ$6:$AJ$2000,$AF10)))</f>
        <v/>
      </c>
      <c r="AM10" s="336" t="str">
        <f t="shared" si="17"/>
        <v/>
      </c>
      <c r="AN10" s="196"/>
      <c r="AO10" s="432" t="str">
        <f>IF($AF10="","",IF($AF10="-",0, SUMIFS('4. 특출'!$AF$6:$AF$2000,'4. 특출'!$AJ$6:$AJ$2000,$AF10)))</f>
        <v/>
      </c>
      <c r="AP10" s="339" t="str">
        <f>IF($AF10="","",IF($AF10="-", 0, COUNTIF('4. 특출'!$AJ$6:$AJ$2000,$AF10)))</f>
        <v/>
      </c>
      <c r="AQ10" s="336" t="str">
        <f t="shared" si="18"/>
        <v/>
      </c>
    </row>
    <row r="11" spans="1:43" s="135" customFormat="1" ht="69.95" customHeight="1">
      <c r="A11" s="126" t="str">
        <f>IF(D11="","",COUNTA($C$7:C11)-COUNTBLANK($C$7:C11)+1)</f>
        <v/>
      </c>
      <c r="B11" s="127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27" t="str">
        <f>IF(D11="","",IF(OR(D11="교육지원과"),"소방재난본부",VLOOKUP(D11,구분표!$A$3:$C$258,3,)))</f>
        <v/>
      </c>
      <c r="D11" s="194"/>
      <c r="E11" s="181"/>
      <c r="F11" s="350" t="str">
        <f t="shared" si="4"/>
        <v/>
      </c>
      <c r="G11" s="350" t="str">
        <f t="shared" si="4"/>
        <v/>
      </c>
      <c r="H11" s="182"/>
      <c r="I11" s="127" t="str">
        <f>IF(H11="","",VLOOKUP($H11,구분표!$O$3:$P$168,2,FALSE))</f>
        <v/>
      </c>
      <c r="J11" s="183"/>
      <c r="K11" s="419" t="str">
        <f t="shared" si="5"/>
        <v/>
      </c>
      <c r="L11" s="419" t="str">
        <f t="shared" si="6"/>
        <v/>
      </c>
      <c r="M11" s="421" t="str">
        <f t="shared" si="7"/>
        <v/>
      </c>
      <c r="N11" s="420"/>
      <c r="O11" s="421">
        <f t="shared" si="8"/>
        <v>0</v>
      </c>
      <c r="P11" s="422"/>
      <c r="Q11" s="423">
        <f t="shared" si="9"/>
        <v>0</v>
      </c>
      <c r="R11" s="133" t="str">
        <f t="shared" si="10"/>
        <v>X</v>
      </c>
      <c r="S11" s="198"/>
      <c r="T11" s="197"/>
      <c r="U11" s="199"/>
      <c r="V11" s="200"/>
      <c r="W11" s="199"/>
      <c r="X11" s="133" t="str">
        <f t="shared" si="11"/>
        <v/>
      </c>
      <c r="Y11" s="195"/>
      <c r="Z11" s="454" t="str">
        <f t="shared" si="12"/>
        <v/>
      </c>
      <c r="AA11" s="454" t="str">
        <f t="shared" si="13"/>
        <v/>
      </c>
      <c r="AC11" s="454" t="str">
        <f t="shared" si="14"/>
        <v/>
      </c>
      <c r="AD11" s="454" t="str">
        <f t="shared" si="15"/>
        <v/>
      </c>
      <c r="AF11" s="336" t="str">
        <f>IF(AI11="","",IF($X11="도비","-",CONCATENATE(AI11,"-",COUNTIF($AI$7:AI11,AI11))))</f>
        <v/>
      </c>
      <c r="AG11" s="336" t="str">
        <f t="shared" si="16"/>
        <v/>
      </c>
      <c r="AI11" s="336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196"/>
      <c r="AK11" s="432" t="str">
        <f>IF($AF11="","",IF($AF11="-",0, SUMIFS('4. 특출'!$AB$6:$AB$2000,'4. 특출'!$AJ$6:$AJ$2000,$AF11)))</f>
        <v/>
      </c>
      <c r="AL11" s="339" t="str">
        <f>IF($AF11="","",IF($AF11="-", 0, COUNTIF('4. 특출'!$AJ$6:$AJ$2000,$AF11)))</f>
        <v/>
      </c>
      <c r="AM11" s="336" t="str">
        <f t="shared" si="17"/>
        <v/>
      </c>
      <c r="AN11" s="196"/>
      <c r="AO11" s="432" t="str">
        <f>IF($AF11="","",IF($AF11="-",0, SUMIFS('4. 특출'!$AF$6:$AF$2000,'4. 특출'!$AJ$6:$AJ$2000,$AF11)))</f>
        <v/>
      </c>
      <c r="AP11" s="339" t="str">
        <f>IF($AF11="","",IF($AF11="-", 0, COUNTIF('4. 특출'!$AJ$6:$AJ$2000,$AF11)))</f>
        <v/>
      </c>
      <c r="AQ11" s="336" t="str">
        <f t="shared" si="18"/>
        <v/>
      </c>
    </row>
    <row r="12" spans="1:43" ht="69.95" customHeight="1">
      <c r="A12" s="141"/>
      <c r="B12" s="886" t="s">
        <v>259</v>
      </c>
      <c r="C12" s="886"/>
      <c r="D12" s="886"/>
      <c r="E12" s="886"/>
      <c r="F12" s="886"/>
      <c r="G12" s="886"/>
      <c r="H12" s="142"/>
      <c r="I12" s="142"/>
      <c r="J12" s="313" t="str">
        <f>SUBTOTAL(3,J13:J16)&amp;"건"</f>
        <v>0건</v>
      </c>
      <c r="K12" s="418">
        <f t="shared" ref="K12:Q12" si="19">SUBTOTAL(9,K13:K16)</f>
        <v>0</v>
      </c>
      <c r="L12" s="418">
        <f t="shared" si="19"/>
        <v>0</v>
      </c>
      <c r="M12" s="418">
        <f t="shared" si="19"/>
        <v>0</v>
      </c>
      <c r="N12" s="418">
        <f t="shared" si="19"/>
        <v>0</v>
      </c>
      <c r="O12" s="418">
        <f t="shared" si="19"/>
        <v>0</v>
      </c>
      <c r="P12" s="418">
        <f t="shared" si="19"/>
        <v>0</v>
      </c>
      <c r="Q12" s="418">
        <f t="shared" si="19"/>
        <v>0</v>
      </c>
      <c r="R12" s="141"/>
      <c r="S12" s="141"/>
      <c r="T12" s="141"/>
      <c r="U12" s="141"/>
      <c r="V12" s="141"/>
      <c r="W12" s="141"/>
      <c r="X12" s="143"/>
      <c r="Y12" s="42"/>
      <c r="Z12" s="418">
        <f>SUBTOTAL(9,Z13:Z16)</f>
        <v>0</v>
      </c>
      <c r="AA12" s="418">
        <f>SUBTOTAL(9,AA13:AA16)</f>
        <v>0</v>
      </c>
      <c r="AB12" s="43"/>
      <c r="AC12" s="418">
        <f>SUBTOTAL(9,AC13:AC16)</f>
        <v>0</v>
      </c>
      <c r="AD12" s="418">
        <f>SUBTOTAL(9,AD13:AD16)</f>
        <v>0</v>
      </c>
      <c r="AE12" s="43"/>
      <c r="AF12" s="141"/>
      <c r="AG12" s="143"/>
      <c r="AH12" s="43"/>
      <c r="AI12" s="143"/>
      <c r="AJ12" s="43"/>
      <c r="AK12" s="418">
        <f>SUBTOTAL(9,AK13:AK16)</f>
        <v>0</v>
      </c>
      <c r="AL12" s="418">
        <f>SUBTOTAL(9,AL13:AL16)</f>
        <v>0</v>
      </c>
      <c r="AM12" s="510" t="str">
        <f>IF(COUNTIF(AM13:AM16,"@@")&gt;0,"@@","OK")</f>
        <v>OK</v>
      </c>
      <c r="AN12" s="43"/>
      <c r="AO12" s="418">
        <f t="shared" ref="AO12" si="20">SUBTOTAL(9,AO13:AO16)</f>
        <v>0</v>
      </c>
      <c r="AP12" s="418">
        <f t="shared" ref="AP12" si="21">SUBTOTAL(9,AP13:AP16)</f>
        <v>0</v>
      </c>
      <c r="AQ12" s="510" t="str">
        <f>IF(COUNTIF(AQ13:AQ16,"@@")&gt;0,"@@","OK")</f>
        <v>OK</v>
      </c>
    </row>
    <row r="13" spans="1:43" s="135" customFormat="1" ht="69.95" customHeight="1">
      <c r="A13" s="126" t="str">
        <f>IF(D13="","",COUNTA($C$7:C13)-COUNTBLANK($C$7:C13)+2)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IF(D13="","",IF(OR(D13="교육지원과"),"소방재난본부",VLOOKUP(D13,구분표!$A$3:$C$258,3,)))</f>
        <v/>
      </c>
      <c r="D13" s="194"/>
      <c r="E13" s="181"/>
      <c r="F13" s="350" t="str">
        <f>IF($E13="","",IF($E13="2추","직접입력","-"))</f>
        <v/>
      </c>
      <c r="G13" s="350" t="str">
        <f>IF($E13="","",IF($E13="2추","직접입력","-"))</f>
        <v/>
      </c>
      <c r="H13" s="182"/>
      <c r="I13" s="127" t="str">
        <f>IF(H13="","",VLOOKUP($H13,구분표!$O$3:$P$168,2,FALSE))</f>
        <v/>
      </c>
      <c r="J13" s="183"/>
      <c r="K13" s="419" t="str">
        <f>IF($E13="","",IF(OR($E13="2추", $E13="1추", $E13="본예산"), "금액입력", "-"))</f>
        <v/>
      </c>
      <c r="L13" s="419" t="str">
        <f>IF($E13="", "", IF($E13="2추","금액입력", "-"))</f>
        <v/>
      </c>
      <c r="M13" s="421" t="str">
        <f t="shared" ref="M13:M16" si="22">IF($E13="","",SUM(K13:L13))</f>
        <v/>
      </c>
      <c r="N13" s="420"/>
      <c r="O13" s="421">
        <f t="shared" ref="O13:O16" si="23">SUM(M13:N13)</f>
        <v>0</v>
      </c>
      <c r="P13" s="422"/>
      <c r="Q13" s="423">
        <f t="shared" ref="Q13:Q16" si="24">SUM(M13,P13)</f>
        <v>0</v>
      </c>
      <c r="R13" s="133" t="str">
        <f t="shared" ref="R13:R16" si="25">IF(AND((O13=0),(Q13&gt;0)),"O",IF(AND((N13&lt;0),(O13-Q13&lt;0)),"O","X"))</f>
        <v>X</v>
      </c>
      <c r="S13" s="198"/>
      <c r="T13" s="197"/>
      <c r="U13" s="199"/>
      <c r="V13" s="200"/>
      <c r="W13" s="199"/>
      <c r="X13" s="133" t="str">
        <f t="shared" ref="X13:X16" si="26">IF($H13="","",IF(OR($H13="511-01", $H13="511-02", $H13="511-03", $H13="311-02", $H13="311-04", $H13="321-01"),"국비","도비"))</f>
        <v/>
      </c>
      <c r="Y13" s="195"/>
      <c r="Z13" s="454" t="str">
        <f t="shared" ref="Z13:Z16" si="27">IF($X13="", "", IF($X13="국비",$N13, 0))</f>
        <v/>
      </c>
      <c r="AA13" s="454" t="str">
        <f t="shared" ref="AA13:AA16" si="28">IF($X13="", "", IF($X13="도비",$N13, 0))</f>
        <v/>
      </c>
      <c r="AC13" s="454" t="str">
        <f t="shared" ref="AC13:AC16" si="29">IF($X13="", "", IF($X13="국비",$P13, 0))</f>
        <v/>
      </c>
      <c r="AD13" s="454" t="str">
        <f t="shared" ref="AD13:AD16" si="30">IF($X13="", "", IF($X13="도비",$P13, 0))</f>
        <v/>
      </c>
      <c r="AF13" s="336" t="str">
        <f>IF(AI13="","",IF($X13="도비","-",CONCATENATE(AI13,"-",COUNTIF($AI$7:AI13,AI13))))</f>
        <v/>
      </c>
      <c r="AG13" s="336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36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196"/>
      <c r="AK13" s="432" t="str">
        <f>IF($AF13="","",IF($AF13="-",0, SUMIFS('4. 특출'!$AB$6:$AB$2000,'4. 특출'!$AJ$6:$AJ$2000,$AF13)))</f>
        <v/>
      </c>
      <c r="AL13" s="339" t="str">
        <f>IF($AF13="","",IF($AF13="-", 0, COUNTIF('4. 특출'!$AJ$6:$AJ$2000,$AF13)))</f>
        <v/>
      </c>
      <c r="AM13" s="336" t="str">
        <f t="shared" ref="AM13:AM16" si="32">IF($AF13="", "", IF($Z13=$AK13,"OK","@@"))</f>
        <v/>
      </c>
      <c r="AN13" s="196"/>
      <c r="AO13" s="432" t="str">
        <f>IF($AF13="","",IF($AF13="-",0, SUMIFS('4. 특출'!$AF$6:$AF$2000,'4. 특출'!$AJ$6:$AJ$2000,$AF13)))</f>
        <v/>
      </c>
      <c r="AP13" s="339" t="str">
        <f>IF($AF13="","",IF($AF13="-", 0, COUNTIF('4. 특출'!$AJ$6:$AJ$2000,$AF13)))</f>
        <v/>
      </c>
      <c r="AQ13" s="336" t="str">
        <f t="shared" ref="AQ13:AQ16" si="33">IF($AF13="", "", IF($AC13=$AO13,"OK","@@"))</f>
        <v/>
      </c>
    </row>
    <row r="14" spans="1:43" s="135" customFormat="1" ht="69.95" customHeight="1">
      <c r="A14" s="126" t="str">
        <f>IF(D14="","",COUNTA($C$7:C14)-COUNTBLANK($C$7:C14)+2)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IF(D14="","",IF(OR(D14="교육지원과"),"소방재난본부",VLOOKUP(D14,구분표!$A$3:$C$258,3,)))</f>
        <v/>
      </c>
      <c r="D14" s="194"/>
      <c r="E14" s="181"/>
      <c r="F14" s="350" t="str">
        <f t="shared" ref="F14:G16" si="34">IF($E14="","",IF($E14="2추","직접입력","-"))</f>
        <v/>
      </c>
      <c r="G14" s="350" t="str">
        <f t="shared" si="34"/>
        <v/>
      </c>
      <c r="H14" s="182"/>
      <c r="I14" s="127" t="str">
        <f>IF(H14="","",VLOOKUP($H14,구분표!$O$3:$P$168,2,FALSE))</f>
        <v/>
      </c>
      <c r="J14" s="183"/>
      <c r="K14" s="419" t="str">
        <f t="shared" ref="K14:K16" si="35">IF($E14="","",IF(OR($E14="2추", $E14="1추", $E14="본예산"), "금액입력", "-"))</f>
        <v/>
      </c>
      <c r="L14" s="419" t="str">
        <f t="shared" ref="L14:L16" si="36">IF($E14="", "", IF($E14="2추","금액입력", "-"))</f>
        <v/>
      </c>
      <c r="M14" s="421" t="str">
        <f t="shared" si="22"/>
        <v/>
      </c>
      <c r="N14" s="420"/>
      <c r="O14" s="421">
        <f t="shared" si="23"/>
        <v>0</v>
      </c>
      <c r="P14" s="422"/>
      <c r="Q14" s="423">
        <f t="shared" si="24"/>
        <v>0</v>
      </c>
      <c r="R14" s="133" t="str">
        <f t="shared" si="25"/>
        <v>X</v>
      </c>
      <c r="S14" s="198"/>
      <c r="T14" s="197"/>
      <c r="U14" s="199"/>
      <c r="V14" s="200"/>
      <c r="W14" s="199"/>
      <c r="X14" s="133" t="str">
        <f t="shared" si="26"/>
        <v/>
      </c>
      <c r="Y14" s="195"/>
      <c r="Z14" s="454" t="str">
        <f t="shared" si="27"/>
        <v/>
      </c>
      <c r="AA14" s="454" t="str">
        <f t="shared" si="28"/>
        <v/>
      </c>
      <c r="AC14" s="454" t="str">
        <f t="shared" si="29"/>
        <v/>
      </c>
      <c r="AD14" s="454" t="str">
        <f t="shared" si="30"/>
        <v/>
      </c>
      <c r="AF14" s="336" t="str">
        <f>IF(AI14="","",IF($X14="도비","-",CONCATENATE(AI14,"-",COUNTIF($AI$7:AI14,AI14))))</f>
        <v/>
      </c>
      <c r="AG14" s="336" t="str">
        <f t="shared" si="31"/>
        <v/>
      </c>
      <c r="AI14" s="336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196"/>
      <c r="AK14" s="432" t="str">
        <f>IF($AF14="","",IF($AF14="-",0, SUMIFS('4. 특출'!$AB$6:$AB$2000,'4. 특출'!$AJ$6:$AJ$2000,$AF14)))</f>
        <v/>
      </c>
      <c r="AL14" s="339" t="str">
        <f>IF($AF14="","",IF($AF14="-", 0, COUNTIF('4. 특출'!$AJ$6:$AJ$2000,$AF14)))</f>
        <v/>
      </c>
      <c r="AM14" s="336" t="str">
        <f t="shared" si="32"/>
        <v/>
      </c>
      <c r="AN14" s="196"/>
      <c r="AO14" s="432" t="str">
        <f>IF($AF14="","",IF($AF14="-",0, SUMIFS('4. 특출'!$AF$6:$AF$2000,'4. 특출'!$AJ$6:$AJ$2000,$AF14)))</f>
        <v/>
      </c>
      <c r="AP14" s="339" t="str">
        <f>IF($AF14="","",IF($AF14="-", 0, COUNTIF('4. 특출'!$AJ$6:$AJ$2000,$AF14)))</f>
        <v/>
      </c>
      <c r="AQ14" s="336" t="str">
        <f t="shared" si="33"/>
        <v/>
      </c>
    </row>
    <row r="15" spans="1:43" s="135" customFormat="1" ht="69.95" customHeight="1">
      <c r="A15" s="126" t="str">
        <f>IF(D15="","",COUNTA($C$7:C15)-COUNTBLANK($C$7:C15)+2)</f>
        <v/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27" t="str">
        <f>IF(D15="","",IF(OR(D15="교육지원과"),"소방재난본부",VLOOKUP(D15,구분표!$A$3:$C$258,3,)))</f>
        <v/>
      </c>
      <c r="D15" s="194"/>
      <c r="E15" s="181"/>
      <c r="F15" s="350" t="str">
        <f t="shared" si="34"/>
        <v/>
      </c>
      <c r="G15" s="350" t="str">
        <f t="shared" si="34"/>
        <v/>
      </c>
      <c r="H15" s="182"/>
      <c r="I15" s="127" t="str">
        <f>IF(H15="","",VLOOKUP($H15,구분표!$O$3:$P$168,2,FALSE))</f>
        <v/>
      </c>
      <c r="J15" s="183"/>
      <c r="K15" s="419" t="str">
        <f t="shared" si="35"/>
        <v/>
      </c>
      <c r="L15" s="419" t="str">
        <f t="shared" si="36"/>
        <v/>
      </c>
      <c r="M15" s="421" t="str">
        <f t="shared" si="22"/>
        <v/>
      </c>
      <c r="N15" s="420"/>
      <c r="O15" s="421">
        <f t="shared" si="23"/>
        <v>0</v>
      </c>
      <c r="P15" s="422"/>
      <c r="Q15" s="423">
        <f t="shared" si="24"/>
        <v>0</v>
      </c>
      <c r="R15" s="133" t="str">
        <f t="shared" si="25"/>
        <v>X</v>
      </c>
      <c r="S15" s="198"/>
      <c r="T15" s="197"/>
      <c r="U15" s="199"/>
      <c r="V15" s="200"/>
      <c r="W15" s="199"/>
      <c r="X15" s="133" t="str">
        <f t="shared" si="26"/>
        <v/>
      </c>
      <c r="Y15" s="195"/>
      <c r="Z15" s="454" t="str">
        <f t="shared" si="27"/>
        <v/>
      </c>
      <c r="AA15" s="454" t="str">
        <f t="shared" si="28"/>
        <v/>
      </c>
      <c r="AC15" s="454" t="str">
        <f t="shared" si="29"/>
        <v/>
      </c>
      <c r="AD15" s="454" t="str">
        <f t="shared" si="30"/>
        <v/>
      </c>
      <c r="AF15" s="336" t="str">
        <f>IF(AI15="","",IF($X15="도비","-",CONCATENATE(AI15,"-",COUNTIF($AI$7:AI15,AI15))))</f>
        <v/>
      </c>
      <c r="AG15" s="336" t="str">
        <f t="shared" si="31"/>
        <v/>
      </c>
      <c r="AI15" s="336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196"/>
      <c r="AK15" s="432" t="str">
        <f>IF($AF15="","",IF($AF15="-",0, SUMIFS('4. 특출'!$AB$6:$AB$2000,'4. 특출'!$AJ$6:$AJ$2000,$AF15)))</f>
        <v/>
      </c>
      <c r="AL15" s="339" t="str">
        <f>IF($AF15="","",IF($AF15="-", 0, COUNTIF('4. 특출'!$AJ$6:$AJ$2000,$AF15)))</f>
        <v/>
      </c>
      <c r="AM15" s="336" t="str">
        <f t="shared" si="32"/>
        <v/>
      </c>
      <c r="AN15" s="196"/>
      <c r="AO15" s="432" t="str">
        <f>IF($AF15="","",IF($AF15="-",0, SUMIFS('4. 특출'!$AF$6:$AF$2000,'4. 특출'!$AJ$6:$AJ$2000,$AF15)))</f>
        <v/>
      </c>
      <c r="AP15" s="339" t="str">
        <f>IF($AF15="","",IF($AF15="-", 0, COUNTIF('4. 특출'!$AJ$6:$AJ$2000,$AF15)))</f>
        <v/>
      </c>
      <c r="AQ15" s="336" t="str">
        <f t="shared" si="33"/>
        <v/>
      </c>
    </row>
    <row r="16" spans="1:43" s="135" customFormat="1" ht="69.95" customHeight="1">
      <c r="A16" s="126" t="str">
        <f>IF(D16="","",COUNTA($C$7:C16)-COUNTBLANK($C$7:C16)+2)</f>
        <v/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27" t="str">
        <f>IF(D16="","",IF(OR(D16="교육지원과"),"소방재난본부",VLOOKUP(D16,구분표!$A$3:$C$258,3,)))</f>
        <v/>
      </c>
      <c r="D16" s="194"/>
      <c r="E16" s="181"/>
      <c r="F16" s="350" t="str">
        <f t="shared" si="34"/>
        <v/>
      </c>
      <c r="G16" s="350" t="str">
        <f t="shared" si="34"/>
        <v/>
      </c>
      <c r="H16" s="182"/>
      <c r="I16" s="127" t="str">
        <f>IF(H16="","",VLOOKUP($H16,구분표!$O$3:$P$168,2,FALSE))</f>
        <v/>
      </c>
      <c r="J16" s="183"/>
      <c r="K16" s="419" t="str">
        <f t="shared" si="35"/>
        <v/>
      </c>
      <c r="L16" s="419" t="str">
        <f t="shared" si="36"/>
        <v/>
      </c>
      <c r="M16" s="421" t="str">
        <f t="shared" si="22"/>
        <v/>
      </c>
      <c r="N16" s="420"/>
      <c r="O16" s="421">
        <f t="shared" si="23"/>
        <v>0</v>
      </c>
      <c r="P16" s="422"/>
      <c r="Q16" s="423">
        <f t="shared" si="24"/>
        <v>0</v>
      </c>
      <c r="R16" s="133" t="str">
        <f t="shared" si="25"/>
        <v>X</v>
      </c>
      <c r="S16" s="198"/>
      <c r="T16" s="197"/>
      <c r="U16" s="199"/>
      <c r="V16" s="200"/>
      <c r="W16" s="199"/>
      <c r="X16" s="133" t="str">
        <f t="shared" si="26"/>
        <v/>
      </c>
      <c r="Y16" s="195"/>
      <c r="Z16" s="454" t="str">
        <f t="shared" si="27"/>
        <v/>
      </c>
      <c r="AA16" s="454" t="str">
        <f t="shared" si="28"/>
        <v/>
      </c>
      <c r="AC16" s="454" t="str">
        <f t="shared" si="29"/>
        <v/>
      </c>
      <c r="AD16" s="454" t="str">
        <f t="shared" si="30"/>
        <v/>
      </c>
      <c r="AF16" s="336" t="str">
        <f>IF(AI16="","",IF($X16="도비","-",CONCATENATE(AI16,"-",COUNTIF($AI$7:AI16,AI16))))</f>
        <v/>
      </c>
      <c r="AG16" s="336" t="str">
        <f t="shared" si="31"/>
        <v/>
      </c>
      <c r="AI16" s="336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196"/>
      <c r="AK16" s="432" t="str">
        <f>IF($AF16="","",IF($AF16="-",0, SUMIFS('4. 특출'!$AB$6:$AB$2000,'4. 특출'!$AJ$6:$AJ$2000,$AF16)))</f>
        <v/>
      </c>
      <c r="AL16" s="339" t="str">
        <f>IF($AF16="","",IF($AF16="-", 0, COUNTIF('4. 특출'!$AJ$6:$AJ$2000,$AF16)))</f>
        <v/>
      </c>
      <c r="AM16" s="336" t="str">
        <f t="shared" si="32"/>
        <v/>
      </c>
      <c r="AN16" s="196"/>
      <c r="AO16" s="432" t="str">
        <f>IF($AF16="","",IF($AF16="-",0, SUMIFS('4. 특출'!$AF$6:$AF$2000,'4. 특출'!$AJ$6:$AJ$2000,$AF16)))</f>
        <v/>
      </c>
      <c r="AP16" s="339" t="str">
        <f>IF($AF16="","",IF($AF16="-", 0, COUNTIF('4. 특출'!$AJ$6:$AJ$2000,$AF16)))</f>
        <v/>
      </c>
      <c r="AQ16" s="336" t="str">
        <f t="shared" si="33"/>
        <v/>
      </c>
    </row>
    <row r="17" spans="1:43" ht="69.95" customHeight="1">
      <c r="A17" s="141"/>
      <c r="B17" s="886" t="s">
        <v>763</v>
      </c>
      <c r="C17" s="886"/>
      <c r="D17" s="886"/>
      <c r="E17" s="886"/>
      <c r="F17" s="886"/>
      <c r="G17" s="886"/>
      <c r="H17" s="142"/>
      <c r="I17" s="142"/>
      <c r="J17" s="313" t="str">
        <f>SUBTOTAL(3,J18:J21)&amp;"건"</f>
        <v>0건</v>
      </c>
      <c r="K17" s="418">
        <f t="shared" ref="K17:Q17" si="37">SUBTOTAL(9,K18:K21)</f>
        <v>0</v>
      </c>
      <c r="L17" s="418">
        <f t="shared" si="37"/>
        <v>0</v>
      </c>
      <c r="M17" s="418">
        <f t="shared" si="37"/>
        <v>0</v>
      </c>
      <c r="N17" s="418">
        <f t="shared" si="37"/>
        <v>0</v>
      </c>
      <c r="O17" s="418">
        <f t="shared" si="37"/>
        <v>0</v>
      </c>
      <c r="P17" s="418">
        <f t="shared" si="37"/>
        <v>0</v>
      </c>
      <c r="Q17" s="418">
        <f t="shared" si="37"/>
        <v>0</v>
      </c>
      <c r="R17" s="141"/>
      <c r="S17" s="141"/>
      <c r="T17" s="141"/>
      <c r="U17" s="141"/>
      <c r="V17" s="141"/>
      <c r="W17" s="141"/>
      <c r="X17" s="143"/>
      <c r="Y17" s="42"/>
      <c r="Z17" s="418">
        <f>SUBTOTAL(9,Z18:Z21)</f>
        <v>0</v>
      </c>
      <c r="AA17" s="418">
        <f>SUBTOTAL(9,AA18:AA21)</f>
        <v>0</v>
      </c>
      <c r="AB17" s="43"/>
      <c r="AC17" s="418">
        <f>SUBTOTAL(9,AC18:AC21)</f>
        <v>0</v>
      </c>
      <c r="AD17" s="418">
        <f>SUBTOTAL(9,AD18:AD21)</f>
        <v>0</v>
      </c>
      <c r="AE17" s="43"/>
      <c r="AF17" s="141"/>
      <c r="AG17" s="143"/>
      <c r="AH17" s="43"/>
      <c r="AI17" s="143"/>
      <c r="AJ17" s="43"/>
      <c r="AK17" s="418">
        <f>SUBTOTAL(9,AK18:AK21)</f>
        <v>0</v>
      </c>
      <c r="AL17" s="418">
        <f>SUBTOTAL(9,AL18:AL21)</f>
        <v>0</v>
      </c>
      <c r="AM17" s="510" t="str">
        <f>IF(COUNTIF(AM18:AM21,"@@")&gt;0,"@@","OK")</f>
        <v>OK</v>
      </c>
      <c r="AN17" s="43"/>
      <c r="AO17" s="418">
        <f t="shared" ref="AO17" si="38">SUBTOTAL(9,AO18:AO21)</f>
        <v>0</v>
      </c>
      <c r="AP17" s="418">
        <f t="shared" ref="AP17" si="39">SUBTOTAL(9,AP18:AP21)</f>
        <v>0</v>
      </c>
      <c r="AQ17" s="510" t="str">
        <f>IF(COUNTIF(AQ18:AQ21,"@@")&gt;0,"@@","OK")</f>
        <v>OK</v>
      </c>
    </row>
    <row r="18" spans="1:43" s="135" customFormat="1" ht="69.95" customHeight="1">
      <c r="A18" s="126" t="str">
        <f>IF(D18="","",COUNTA($C$7:C18)-COUNTBLANK($C$7:C18)+3)</f>
        <v/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27" t="str">
        <f>IF(D18="","",IF(OR(D18="교육지원과"),"소방재난본부",VLOOKUP(D18,구분표!$A$3:$C$258,3,)))</f>
        <v/>
      </c>
      <c r="D18" s="194"/>
      <c r="E18" s="181"/>
      <c r="F18" s="350" t="str">
        <f>IF($E18="","",IF($E18="2추","직접입력","-"))</f>
        <v/>
      </c>
      <c r="G18" s="350" t="str">
        <f>IF($E18="","",IF($E18="2추","직접입력","-"))</f>
        <v/>
      </c>
      <c r="H18" s="182"/>
      <c r="I18" s="127" t="str">
        <f>IF(H18="","",VLOOKUP($H18,구분표!$O$3:$P$168,2,FALSE))</f>
        <v/>
      </c>
      <c r="J18" s="183"/>
      <c r="K18" s="419" t="str">
        <f>IF($E18="","",IF(OR($E18="2추", $E18="1추", $E18="본예산"), "금액입력", "-"))</f>
        <v/>
      </c>
      <c r="L18" s="419" t="str">
        <f>IF($E18="", "", IF($E18="2추","금액입력", "-"))</f>
        <v/>
      </c>
      <c r="M18" s="421" t="str">
        <f t="shared" ref="M18:M21" si="40">IF($E18="","",SUM(K18:L18))</f>
        <v/>
      </c>
      <c r="N18" s="420"/>
      <c r="O18" s="421">
        <f t="shared" ref="O18:O21" si="41">SUM(M18:N18)</f>
        <v>0</v>
      </c>
      <c r="P18" s="422"/>
      <c r="Q18" s="423">
        <f t="shared" ref="Q18:Q21" si="42">SUM(M18,P18)</f>
        <v>0</v>
      </c>
      <c r="R18" s="133" t="str">
        <f t="shared" ref="R18:R21" si="43">IF(AND((O18=0),(Q18&gt;0)),"O",IF(AND((N18&lt;0),(O18-Q18&lt;0)),"O","X"))</f>
        <v>X</v>
      </c>
      <c r="S18" s="198"/>
      <c r="T18" s="197"/>
      <c r="U18" s="199"/>
      <c r="V18" s="200"/>
      <c r="W18" s="199"/>
      <c r="X18" s="133" t="str">
        <f t="shared" ref="X18:X21" si="44">IF($H18="","",IF(OR($H18="511-01", $H18="511-02", $H18="511-03", $H18="311-02", $H18="311-04", $H18="321-01"),"국비","도비"))</f>
        <v/>
      </c>
      <c r="Y18" s="195"/>
      <c r="Z18" s="454" t="str">
        <f t="shared" ref="Z18:Z21" si="45">IF($X18="", "", IF($X18="국비",$N18, 0))</f>
        <v/>
      </c>
      <c r="AA18" s="454" t="str">
        <f t="shared" ref="AA18:AA21" si="46">IF($X18="", "", IF($X18="도비",$N18, 0))</f>
        <v/>
      </c>
      <c r="AC18" s="454" t="str">
        <f t="shared" ref="AC18:AC21" si="47">IF($X18="", "", IF($X18="국비",$P18, 0))</f>
        <v/>
      </c>
      <c r="AD18" s="454" t="str">
        <f t="shared" ref="AD18:AD21" si="48">IF($X18="", "", IF($X18="도비",$P18, 0))</f>
        <v/>
      </c>
      <c r="AF18" s="336" t="str">
        <f>IF(AI18="","",IF($X18="도비","-",CONCATENATE(AI18,"-",COUNTIF($AI$7:AI18,AI18))))</f>
        <v/>
      </c>
      <c r="AG18" s="336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36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196"/>
      <c r="AK18" s="432" t="str">
        <f>IF($AF18="","",IF($AF18="-",0, SUMIFS('4. 특출'!$AB$6:$AB$2000,'4. 특출'!$AJ$6:$AJ$2000,$AF18)))</f>
        <v/>
      </c>
      <c r="AL18" s="339" t="str">
        <f>IF($AF18="","",IF($AF18="-", 0, COUNTIF('4. 특출'!$AJ$6:$AJ$2000,$AF18)))</f>
        <v/>
      </c>
      <c r="AM18" s="336" t="str">
        <f t="shared" ref="AM18:AM21" si="50">IF($AF18="", "", IF($Z18=$AK18,"OK","@@"))</f>
        <v/>
      </c>
      <c r="AN18" s="196"/>
      <c r="AO18" s="432" t="str">
        <f>IF($AF18="","",IF($AF18="-",0, SUMIFS('4. 특출'!$AF$6:$AF$2000,'4. 특출'!$AJ$6:$AJ$2000,$AF18)))</f>
        <v/>
      </c>
      <c r="AP18" s="339" t="str">
        <f>IF($AF18="","",IF($AF18="-", 0, COUNTIF('4. 특출'!$AJ$6:$AJ$2000,$AF18)))</f>
        <v/>
      </c>
      <c r="AQ18" s="336" t="str">
        <f t="shared" ref="AQ18:AQ21" si="51">IF($AF18="", "", IF($AC18=$AO18,"OK","@@"))</f>
        <v/>
      </c>
    </row>
    <row r="19" spans="1:43" s="135" customFormat="1" ht="69.95" customHeight="1">
      <c r="A19" s="126" t="str">
        <f>IF(D19="","",COUNTA($C$7:C19)-COUNTBLANK($C$7:C19)+3)</f>
        <v/>
      </c>
      <c r="B19" s="127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27" t="str">
        <f>IF(D19="","",IF(OR(D19="교육지원과"),"소방재난본부",VLOOKUP(D19,구분표!$A$3:$C$258,3,)))</f>
        <v/>
      </c>
      <c r="D19" s="194"/>
      <c r="E19" s="181"/>
      <c r="F19" s="350" t="str">
        <f t="shared" ref="F19:G21" si="52">IF($E19="","",IF($E19="2추","직접입력","-"))</f>
        <v/>
      </c>
      <c r="G19" s="350" t="str">
        <f t="shared" si="52"/>
        <v/>
      </c>
      <c r="H19" s="182"/>
      <c r="I19" s="127" t="str">
        <f>IF(H19="","",VLOOKUP($H19,구분표!$O$3:$P$168,2,FALSE))</f>
        <v/>
      </c>
      <c r="J19" s="183"/>
      <c r="K19" s="419" t="str">
        <f t="shared" ref="K19:K21" si="53">IF($E19="","",IF(OR($E19="2추", $E19="1추", $E19="본예산"), "금액입력", "-"))</f>
        <v/>
      </c>
      <c r="L19" s="419" t="str">
        <f t="shared" ref="L19:L21" si="54">IF($E19="", "", IF($E19="2추","금액입력", "-"))</f>
        <v/>
      </c>
      <c r="M19" s="421" t="str">
        <f t="shared" si="40"/>
        <v/>
      </c>
      <c r="N19" s="420"/>
      <c r="O19" s="421">
        <f t="shared" si="41"/>
        <v>0</v>
      </c>
      <c r="P19" s="422"/>
      <c r="Q19" s="423">
        <f t="shared" si="42"/>
        <v>0</v>
      </c>
      <c r="R19" s="133" t="str">
        <f t="shared" si="43"/>
        <v>X</v>
      </c>
      <c r="S19" s="198"/>
      <c r="T19" s="197"/>
      <c r="U19" s="199"/>
      <c r="V19" s="200"/>
      <c r="W19" s="199"/>
      <c r="X19" s="133" t="str">
        <f t="shared" si="44"/>
        <v/>
      </c>
      <c r="Y19" s="195"/>
      <c r="Z19" s="454" t="str">
        <f t="shared" si="45"/>
        <v/>
      </c>
      <c r="AA19" s="454" t="str">
        <f t="shared" si="46"/>
        <v/>
      </c>
      <c r="AC19" s="454" t="str">
        <f t="shared" si="47"/>
        <v/>
      </c>
      <c r="AD19" s="454" t="str">
        <f t="shared" si="48"/>
        <v/>
      </c>
      <c r="AF19" s="336" t="str">
        <f>IF(AI19="","",IF($X19="도비","-",CONCATENATE(AI19,"-",COUNTIF($AI$7:AI19,AI19))))</f>
        <v/>
      </c>
      <c r="AG19" s="336" t="str">
        <f t="shared" si="49"/>
        <v/>
      </c>
      <c r="AI19" s="336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196"/>
      <c r="AK19" s="432" t="str">
        <f>IF($AF19="","",IF($AF19="-",0, SUMIFS('4. 특출'!$AB$6:$AB$2000,'4. 특출'!$AJ$6:$AJ$2000,$AF19)))</f>
        <v/>
      </c>
      <c r="AL19" s="339" t="str">
        <f>IF($AF19="","",IF($AF19="-", 0, COUNTIF('4. 특출'!$AJ$6:$AJ$2000,$AF19)))</f>
        <v/>
      </c>
      <c r="AM19" s="336" t="str">
        <f t="shared" si="50"/>
        <v/>
      </c>
      <c r="AN19" s="196"/>
      <c r="AO19" s="432" t="str">
        <f>IF($AF19="","",IF($AF19="-",0, SUMIFS('4. 특출'!$AF$6:$AF$2000,'4. 특출'!$AJ$6:$AJ$2000,$AF19)))</f>
        <v/>
      </c>
      <c r="AP19" s="339" t="str">
        <f>IF($AF19="","",IF($AF19="-", 0, COUNTIF('4. 특출'!$AJ$6:$AJ$2000,$AF19)))</f>
        <v/>
      </c>
      <c r="AQ19" s="336" t="str">
        <f t="shared" si="51"/>
        <v/>
      </c>
    </row>
    <row r="20" spans="1:43" s="135" customFormat="1" ht="69.95" customHeight="1">
      <c r="A20" s="126" t="str">
        <f>IF(D20="","",COUNTA($C$7:C20)-COUNTBLANK($C$7:C20)+3)</f>
        <v/>
      </c>
      <c r="B20" s="127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27" t="str">
        <f>IF(D20="","",IF(OR(D20="교육지원과"),"소방재난본부",VLOOKUP(D20,구분표!$A$3:$C$258,3,)))</f>
        <v/>
      </c>
      <c r="D20" s="194"/>
      <c r="E20" s="181"/>
      <c r="F20" s="350" t="str">
        <f t="shared" si="52"/>
        <v/>
      </c>
      <c r="G20" s="350" t="str">
        <f t="shared" si="52"/>
        <v/>
      </c>
      <c r="H20" s="182"/>
      <c r="I20" s="127" t="str">
        <f>IF(H20="","",VLOOKUP($H20,구분표!$O$3:$P$168,2,FALSE))</f>
        <v/>
      </c>
      <c r="J20" s="183"/>
      <c r="K20" s="419" t="str">
        <f t="shared" si="53"/>
        <v/>
      </c>
      <c r="L20" s="419" t="str">
        <f t="shared" si="54"/>
        <v/>
      </c>
      <c r="M20" s="421" t="str">
        <f t="shared" si="40"/>
        <v/>
      </c>
      <c r="N20" s="420"/>
      <c r="O20" s="421">
        <f t="shared" si="41"/>
        <v>0</v>
      </c>
      <c r="P20" s="422"/>
      <c r="Q20" s="423">
        <f t="shared" si="42"/>
        <v>0</v>
      </c>
      <c r="R20" s="133" t="str">
        <f t="shared" si="43"/>
        <v>X</v>
      </c>
      <c r="S20" s="198"/>
      <c r="T20" s="197"/>
      <c r="U20" s="199"/>
      <c r="V20" s="200"/>
      <c r="W20" s="199"/>
      <c r="X20" s="133" t="str">
        <f t="shared" si="44"/>
        <v/>
      </c>
      <c r="Y20" s="195"/>
      <c r="Z20" s="454" t="str">
        <f t="shared" si="45"/>
        <v/>
      </c>
      <c r="AA20" s="454" t="str">
        <f t="shared" si="46"/>
        <v/>
      </c>
      <c r="AC20" s="454" t="str">
        <f t="shared" si="47"/>
        <v/>
      </c>
      <c r="AD20" s="454" t="str">
        <f t="shared" si="48"/>
        <v/>
      </c>
      <c r="AF20" s="336" t="str">
        <f>IF(AI20="","",IF($X20="도비","-",CONCATENATE(AI20,"-",COUNTIF($AI$7:AI20,AI20))))</f>
        <v/>
      </c>
      <c r="AG20" s="336" t="str">
        <f t="shared" si="49"/>
        <v/>
      </c>
      <c r="AI20" s="336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196"/>
      <c r="AK20" s="432" t="str">
        <f>IF($AF20="","",IF($AF20="-",0, SUMIFS('4. 특출'!$AB$6:$AB$2000,'4. 특출'!$AJ$6:$AJ$2000,$AF20)))</f>
        <v/>
      </c>
      <c r="AL20" s="339" t="str">
        <f>IF($AF20="","",IF($AF20="-", 0, COUNTIF('4. 특출'!$AJ$6:$AJ$2000,$AF20)))</f>
        <v/>
      </c>
      <c r="AM20" s="336" t="str">
        <f t="shared" si="50"/>
        <v/>
      </c>
      <c r="AN20" s="196"/>
      <c r="AO20" s="432" t="str">
        <f>IF($AF20="","",IF($AF20="-",0, SUMIFS('4. 특출'!$AF$6:$AF$2000,'4. 특출'!$AJ$6:$AJ$2000,$AF20)))</f>
        <v/>
      </c>
      <c r="AP20" s="339" t="str">
        <f>IF($AF20="","",IF($AF20="-", 0, COUNTIF('4. 특출'!$AJ$6:$AJ$2000,$AF20)))</f>
        <v/>
      </c>
      <c r="AQ20" s="336" t="str">
        <f t="shared" si="51"/>
        <v/>
      </c>
    </row>
    <row r="21" spans="1:43" s="135" customFormat="1" ht="69.95" customHeight="1">
      <c r="A21" s="126" t="str">
        <f>IF(D21="","",COUNTA($C$7:C21)-COUNTBLANK($C$7:C21)+3)</f>
        <v/>
      </c>
      <c r="B21" s="127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27" t="str">
        <f>IF(D21="","",IF(OR(D21="교육지원과"),"소방재난본부",VLOOKUP(D21,구분표!$A$3:$C$258,3,)))</f>
        <v/>
      </c>
      <c r="D21" s="194"/>
      <c r="E21" s="181"/>
      <c r="F21" s="350" t="str">
        <f t="shared" si="52"/>
        <v/>
      </c>
      <c r="G21" s="350" t="str">
        <f t="shared" si="52"/>
        <v/>
      </c>
      <c r="H21" s="182"/>
      <c r="I21" s="127" t="str">
        <f>IF(H21="","",VLOOKUP($H21,구분표!$O$3:$P$168,2,FALSE))</f>
        <v/>
      </c>
      <c r="J21" s="183"/>
      <c r="K21" s="419" t="str">
        <f t="shared" si="53"/>
        <v/>
      </c>
      <c r="L21" s="419" t="str">
        <f t="shared" si="54"/>
        <v/>
      </c>
      <c r="M21" s="421" t="str">
        <f t="shared" si="40"/>
        <v/>
      </c>
      <c r="N21" s="420"/>
      <c r="O21" s="421">
        <f t="shared" si="41"/>
        <v>0</v>
      </c>
      <c r="P21" s="422"/>
      <c r="Q21" s="423">
        <f t="shared" si="42"/>
        <v>0</v>
      </c>
      <c r="R21" s="133" t="str">
        <f t="shared" si="43"/>
        <v>X</v>
      </c>
      <c r="S21" s="198"/>
      <c r="T21" s="197"/>
      <c r="U21" s="199"/>
      <c r="V21" s="200"/>
      <c r="W21" s="199"/>
      <c r="X21" s="133" t="str">
        <f t="shared" si="44"/>
        <v/>
      </c>
      <c r="Y21" s="195"/>
      <c r="Z21" s="454" t="str">
        <f t="shared" si="45"/>
        <v/>
      </c>
      <c r="AA21" s="454" t="str">
        <f t="shared" si="46"/>
        <v/>
      </c>
      <c r="AC21" s="454" t="str">
        <f t="shared" si="47"/>
        <v/>
      </c>
      <c r="AD21" s="454" t="str">
        <f t="shared" si="48"/>
        <v/>
      </c>
      <c r="AF21" s="336" t="str">
        <f>IF(AI21="","",IF($X21="도비","-",CONCATENATE(AI21,"-",COUNTIF($AI$7:AI21,AI21))))</f>
        <v/>
      </c>
      <c r="AG21" s="336" t="str">
        <f t="shared" si="49"/>
        <v/>
      </c>
      <c r="AI21" s="336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196"/>
      <c r="AK21" s="432" t="str">
        <f>IF($AF21="","",IF($AF21="-",0, SUMIFS('4. 특출'!$AB$6:$AB$2000,'4. 특출'!$AJ$6:$AJ$2000,$AF21)))</f>
        <v/>
      </c>
      <c r="AL21" s="339" t="str">
        <f>IF($AF21="","",IF($AF21="-", 0, COUNTIF('4. 특출'!$AJ$6:$AJ$2000,$AF21)))</f>
        <v/>
      </c>
      <c r="AM21" s="336" t="str">
        <f t="shared" si="50"/>
        <v/>
      </c>
      <c r="AN21" s="196"/>
      <c r="AO21" s="432" t="str">
        <f>IF($AF21="","",IF($AF21="-",0, SUMIFS('4. 특출'!$AF$6:$AF$2000,'4. 특출'!$AJ$6:$AJ$2000,$AF21)))</f>
        <v/>
      </c>
      <c r="AP21" s="339" t="str">
        <f>IF($AF21="","",IF($AF21="-", 0, COUNTIF('4. 특출'!$AJ$6:$AJ$2000,$AF21)))</f>
        <v/>
      </c>
      <c r="AQ21" s="336" t="str">
        <f t="shared" si="51"/>
        <v/>
      </c>
    </row>
    <row r="22" spans="1:43" ht="69.95" customHeight="1">
      <c r="A22" s="141"/>
      <c r="B22" s="886" t="s">
        <v>764</v>
      </c>
      <c r="C22" s="886"/>
      <c r="D22" s="886"/>
      <c r="E22" s="886"/>
      <c r="F22" s="886"/>
      <c r="G22" s="886"/>
      <c r="H22" s="142"/>
      <c r="I22" s="142"/>
      <c r="J22" s="313" t="str">
        <f>SUBTOTAL(3,J23:J26)&amp;"건"</f>
        <v>0건</v>
      </c>
      <c r="K22" s="418">
        <f t="shared" ref="K22:Q22" si="55">SUBTOTAL(9,K23:K26)</f>
        <v>0</v>
      </c>
      <c r="L22" s="418">
        <f t="shared" si="55"/>
        <v>0</v>
      </c>
      <c r="M22" s="418">
        <f t="shared" si="55"/>
        <v>0</v>
      </c>
      <c r="N22" s="418">
        <f t="shared" si="55"/>
        <v>0</v>
      </c>
      <c r="O22" s="418">
        <f t="shared" si="55"/>
        <v>0</v>
      </c>
      <c r="P22" s="418">
        <f t="shared" si="55"/>
        <v>0</v>
      </c>
      <c r="Q22" s="418">
        <f t="shared" si="55"/>
        <v>0</v>
      </c>
      <c r="R22" s="141"/>
      <c r="S22" s="141"/>
      <c r="T22" s="141"/>
      <c r="U22" s="141"/>
      <c r="V22" s="141"/>
      <c r="W22" s="141"/>
      <c r="X22" s="143"/>
      <c r="Y22" s="42"/>
      <c r="Z22" s="418">
        <f>SUBTOTAL(9,Z23:Z26)</f>
        <v>0</v>
      </c>
      <c r="AA22" s="418">
        <f>SUBTOTAL(9,AA23:AA26)</f>
        <v>0</v>
      </c>
      <c r="AB22" s="43"/>
      <c r="AC22" s="418">
        <f>SUBTOTAL(9,AC23:AC26)</f>
        <v>0</v>
      </c>
      <c r="AD22" s="418">
        <f>SUBTOTAL(9,AD23:AD26)</f>
        <v>0</v>
      </c>
      <c r="AE22" s="43"/>
      <c r="AF22" s="141"/>
      <c r="AG22" s="143"/>
      <c r="AH22" s="43"/>
      <c r="AI22" s="143"/>
      <c r="AJ22" s="43"/>
      <c r="AK22" s="418">
        <f>SUBTOTAL(9,AK23:AK26)</f>
        <v>0</v>
      </c>
      <c r="AL22" s="418">
        <f>SUBTOTAL(9,AL23:AL26)</f>
        <v>0</v>
      </c>
      <c r="AM22" s="510" t="str">
        <f>IF(COUNTIF(AM23:AM26,"@@")&gt;0,"@@","OK")</f>
        <v>OK</v>
      </c>
      <c r="AN22" s="43"/>
      <c r="AO22" s="418">
        <f t="shared" ref="AO22" si="56">SUBTOTAL(9,AO23:AO26)</f>
        <v>0</v>
      </c>
      <c r="AP22" s="418">
        <f t="shared" ref="AP22" si="57">SUBTOTAL(9,AP23:AP26)</f>
        <v>0</v>
      </c>
      <c r="AQ22" s="510" t="str">
        <f>IF(COUNTIF(AQ23:AQ26,"@@")&gt;0,"@@","OK")</f>
        <v>OK</v>
      </c>
    </row>
    <row r="23" spans="1:43" s="135" customFormat="1" ht="69.95" customHeight="1">
      <c r="A23" s="126" t="str">
        <f>IF(D23="","",COUNTA($C$7:C23)-COUNTBLANK($C$7:C23)+4)</f>
        <v/>
      </c>
      <c r="B23" s="127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27" t="str">
        <f>IF(D23="","",IF(OR(D23="교육지원과"),"소방재난본부",VLOOKUP(D23,구분표!$A$3:$C$258,3,)))</f>
        <v/>
      </c>
      <c r="D23" s="194"/>
      <c r="E23" s="181"/>
      <c r="F23" s="350" t="str">
        <f>IF($E23="","",IF($E23="2추","직접입력","-"))</f>
        <v/>
      </c>
      <c r="G23" s="350" t="str">
        <f>IF($E23="","",IF($E23="2추","직접입력","-"))</f>
        <v/>
      </c>
      <c r="H23" s="182"/>
      <c r="I23" s="127" t="str">
        <f>IF(H23="","",VLOOKUP($H23,구분표!$O$3:$P$168,2,FALSE))</f>
        <v/>
      </c>
      <c r="J23" s="183"/>
      <c r="K23" s="419" t="str">
        <f>IF($E23="","",IF(OR($E23="2추", $E23="1추", $E23="본예산"), "금액입력", "-"))</f>
        <v/>
      </c>
      <c r="L23" s="419" t="str">
        <f>IF($E23="", "", IF($E23="2추","금액입력", "-"))</f>
        <v/>
      </c>
      <c r="M23" s="421" t="str">
        <f t="shared" ref="M23:M26" si="58">IF($E23="","",SUM(K23:L23))</f>
        <v/>
      </c>
      <c r="N23" s="420"/>
      <c r="O23" s="421">
        <f t="shared" ref="O23:O26" si="59">SUM(M23:N23)</f>
        <v>0</v>
      </c>
      <c r="P23" s="422"/>
      <c r="Q23" s="423">
        <f t="shared" ref="Q23:Q26" si="60">SUM(M23,P23)</f>
        <v>0</v>
      </c>
      <c r="R23" s="133" t="str">
        <f t="shared" ref="R23:R26" si="61">IF(AND((O23=0),(Q23&gt;0)),"O",IF(AND((N23&lt;0),(O23-Q23&lt;0)),"O","X"))</f>
        <v>X</v>
      </c>
      <c r="S23" s="198"/>
      <c r="T23" s="197"/>
      <c r="U23" s="199"/>
      <c r="V23" s="200"/>
      <c r="W23" s="199"/>
      <c r="X23" s="133" t="str">
        <f t="shared" ref="X23:X26" si="62">IF($H23="","",IF(OR($H23="511-01", $H23="511-02", $H23="511-03", $H23="311-02", $H23="311-04", $H23="321-01"),"국비","도비"))</f>
        <v/>
      </c>
      <c r="Y23" s="195"/>
      <c r="Z23" s="454" t="str">
        <f t="shared" ref="Z23:Z26" si="63">IF($X23="", "", IF($X23="국비",$N23, 0))</f>
        <v/>
      </c>
      <c r="AA23" s="454" t="str">
        <f t="shared" ref="AA23:AA26" si="64">IF($X23="", "", IF($X23="도비",$N23, 0))</f>
        <v/>
      </c>
      <c r="AC23" s="454" t="str">
        <f t="shared" ref="AC23:AC26" si="65">IF($X23="", "", IF($X23="국비",$P23, 0))</f>
        <v/>
      </c>
      <c r="AD23" s="454" t="str">
        <f t="shared" ref="AD23:AD26" si="66">IF($X23="", "", IF($X23="도비",$P23, 0))</f>
        <v/>
      </c>
      <c r="AF23" s="336" t="str">
        <f>IF(AI23="","",IF($X23="도비","-",CONCATENATE(AI23,"-",COUNTIF($AI$7:AI23,AI23))))</f>
        <v/>
      </c>
      <c r="AG23" s="336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36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196"/>
      <c r="AK23" s="432" t="str">
        <f>IF($AF23="","",IF($AF23="-",0, SUMIFS('4. 특출'!$AB$6:$AB$2000,'4. 특출'!$AJ$6:$AJ$2000,$AF23)))</f>
        <v/>
      </c>
      <c r="AL23" s="339" t="str">
        <f>IF($AF23="","",IF($AF23="-", 0, COUNTIF('4. 특출'!$AJ$6:$AJ$2000,$AF23)))</f>
        <v/>
      </c>
      <c r="AM23" s="336" t="str">
        <f t="shared" ref="AM23:AM26" si="68">IF($AF23="", "", IF($Z23=$AK23,"OK","@@"))</f>
        <v/>
      </c>
      <c r="AN23" s="196"/>
      <c r="AO23" s="432" t="str">
        <f>IF($AF23="","",IF($AF23="-",0, SUMIFS('4. 특출'!$AF$6:$AF$2000,'4. 특출'!$AJ$6:$AJ$2000,$AF23)))</f>
        <v/>
      </c>
      <c r="AP23" s="339" t="str">
        <f>IF($AF23="","",IF($AF23="-", 0, COUNTIF('4. 특출'!$AJ$6:$AJ$2000,$AF23)))</f>
        <v/>
      </c>
      <c r="AQ23" s="336" t="str">
        <f t="shared" ref="AQ23:AQ26" si="69">IF($AF23="", "", IF($AC23=$AO23,"OK","@@"))</f>
        <v/>
      </c>
    </row>
    <row r="24" spans="1:43" s="135" customFormat="1" ht="69.95" customHeight="1">
      <c r="A24" s="126" t="str">
        <f>IF(D24="","",COUNTA($C$7:C24)-COUNTBLANK($C$7:C24)+4)</f>
        <v/>
      </c>
      <c r="B24" s="127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27" t="str">
        <f>IF(D24="","",IF(OR(D24="교육지원과"),"소방재난본부",VLOOKUP(D24,구분표!$A$3:$C$258,3,)))</f>
        <v/>
      </c>
      <c r="D24" s="194"/>
      <c r="E24" s="181"/>
      <c r="F24" s="350" t="str">
        <f t="shared" ref="F24:G26" si="70">IF($E24="","",IF($E24="2추","직접입력","-"))</f>
        <v/>
      </c>
      <c r="G24" s="350" t="str">
        <f t="shared" si="70"/>
        <v/>
      </c>
      <c r="H24" s="182"/>
      <c r="I24" s="127" t="str">
        <f>IF(H24="","",VLOOKUP($H24,구분표!$O$3:$P$168,2,FALSE))</f>
        <v/>
      </c>
      <c r="J24" s="183"/>
      <c r="K24" s="419" t="str">
        <f t="shared" ref="K24:K26" si="71">IF($E24="","",IF(OR($E24="2추", $E24="1추", $E24="본예산"), "금액입력", "-"))</f>
        <v/>
      </c>
      <c r="L24" s="419" t="str">
        <f t="shared" ref="L24:L26" si="72">IF($E24="", "", IF($E24="2추","금액입력", "-"))</f>
        <v/>
      </c>
      <c r="M24" s="421" t="str">
        <f t="shared" si="58"/>
        <v/>
      </c>
      <c r="N24" s="420"/>
      <c r="O24" s="421">
        <f t="shared" si="59"/>
        <v>0</v>
      </c>
      <c r="P24" s="422"/>
      <c r="Q24" s="423">
        <f t="shared" si="60"/>
        <v>0</v>
      </c>
      <c r="R24" s="133" t="str">
        <f t="shared" si="61"/>
        <v>X</v>
      </c>
      <c r="S24" s="198"/>
      <c r="T24" s="197"/>
      <c r="U24" s="199"/>
      <c r="V24" s="200"/>
      <c r="W24" s="199"/>
      <c r="X24" s="133" t="str">
        <f t="shared" si="62"/>
        <v/>
      </c>
      <c r="Y24" s="195"/>
      <c r="Z24" s="454" t="str">
        <f t="shared" si="63"/>
        <v/>
      </c>
      <c r="AA24" s="454" t="str">
        <f t="shared" si="64"/>
        <v/>
      </c>
      <c r="AC24" s="454" t="str">
        <f t="shared" si="65"/>
        <v/>
      </c>
      <c r="AD24" s="454" t="str">
        <f t="shared" si="66"/>
        <v/>
      </c>
      <c r="AF24" s="336" t="str">
        <f>IF(AI24="","",IF($X24="도비","-",CONCATENATE(AI24,"-",COUNTIF($AI$7:AI24,AI24))))</f>
        <v/>
      </c>
      <c r="AG24" s="336" t="str">
        <f t="shared" si="67"/>
        <v/>
      </c>
      <c r="AI24" s="336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196"/>
      <c r="AK24" s="432" t="str">
        <f>IF($AF24="","",IF($AF24="-",0, SUMIFS('4. 특출'!$AB$6:$AB$2000,'4. 특출'!$AJ$6:$AJ$2000,$AF24)))</f>
        <v/>
      </c>
      <c r="AL24" s="339" t="str">
        <f>IF($AF24="","",IF($AF24="-", 0, COUNTIF('4. 특출'!$AJ$6:$AJ$2000,$AF24)))</f>
        <v/>
      </c>
      <c r="AM24" s="336" t="str">
        <f t="shared" si="68"/>
        <v/>
      </c>
      <c r="AN24" s="196"/>
      <c r="AO24" s="432" t="str">
        <f>IF($AF24="","",IF($AF24="-",0, SUMIFS('4. 특출'!$AF$6:$AF$2000,'4. 특출'!$AJ$6:$AJ$2000,$AF24)))</f>
        <v/>
      </c>
      <c r="AP24" s="339" t="str">
        <f>IF($AF24="","",IF($AF24="-", 0, COUNTIF('4. 특출'!$AJ$6:$AJ$2000,$AF24)))</f>
        <v/>
      </c>
      <c r="AQ24" s="336" t="str">
        <f t="shared" si="69"/>
        <v/>
      </c>
    </row>
    <row r="25" spans="1:43" s="135" customFormat="1" ht="69.95" customHeight="1">
      <c r="A25" s="126" t="str">
        <f>IF(D25="","",COUNTA($C$7:C25)-COUNTBLANK($C$7:C25)+4)</f>
        <v/>
      </c>
      <c r="B25" s="127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27" t="str">
        <f>IF(D25="","",IF(OR(D25="교육지원과"),"소방재난본부",VLOOKUP(D25,구분표!$A$3:$C$258,3,)))</f>
        <v/>
      </c>
      <c r="D25" s="194"/>
      <c r="E25" s="181"/>
      <c r="F25" s="350" t="str">
        <f t="shared" si="70"/>
        <v/>
      </c>
      <c r="G25" s="350" t="str">
        <f t="shared" si="70"/>
        <v/>
      </c>
      <c r="H25" s="182"/>
      <c r="I25" s="127" t="str">
        <f>IF(H25="","",VLOOKUP($H25,구분표!$O$3:$P$168,2,FALSE))</f>
        <v/>
      </c>
      <c r="J25" s="183"/>
      <c r="K25" s="419" t="str">
        <f t="shared" si="71"/>
        <v/>
      </c>
      <c r="L25" s="419" t="str">
        <f t="shared" si="72"/>
        <v/>
      </c>
      <c r="M25" s="421" t="str">
        <f t="shared" si="58"/>
        <v/>
      </c>
      <c r="N25" s="420"/>
      <c r="O25" s="421">
        <f t="shared" si="59"/>
        <v>0</v>
      </c>
      <c r="P25" s="422"/>
      <c r="Q25" s="423">
        <f t="shared" si="60"/>
        <v>0</v>
      </c>
      <c r="R25" s="133" t="str">
        <f t="shared" si="61"/>
        <v>X</v>
      </c>
      <c r="S25" s="198"/>
      <c r="T25" s="197"/>
      <c r="U25" s="199"/>
      <c r="V25" s="200"/>
      <c r="W25" s="199"/>
      <c r="X25" s="133" t="str">
        <f t="shared" si="62"/>
        <v/>
      </c>
      <c r="Y25" s="195"/>
      <c r="Z25" s="454" t="str">
        <f t="shared" si="63"/>
        <v/>
      </c>
      <c r="AA25" s="454" t="str">
        <f t="shared" si="64"/>
        <v/>
      </c>
      <c r="AC25" s="454" t="str">
        <f t="shared" si="65"/>
        <v/>
      </c>
      <c r="AD25" s="454" t="str">
        <f t="shared" si="66"/>
        <v/>
      </c>
      <c r="AF25" s="336" t="str">
        <f>IF(AI25="","",IF($X25="도비","-",CONCATENATE(AI25,"-",COUNTIF($AI$7:AI25,AI25))))</f>
        <v/>
      </c>
      <c r="AG25" s="336" t="str">
        <f t="shared" si="67"/>
        <v/>
      </c>
      <c r="AI25" s="336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196"/>
      <c r="AK25" s="432" t="str">
        <f>IF($AF25="","",IF($AF25="-",0, SUMIFS('4. 특출'!$AB$6:$AB$2000,'4. 특출'!$AJ$6:$AJ$2000,$AF25)))</f>
        <v/>
      </c>
      <c r="AL25" s="339" t="str">
        <f>IF($AF25="","",IF($AF25="-", 0, COUNTIF('4. 특출'!$AJ$6:$AJ$2000,$AF25)))</f>
        <v/>
      </c>
      <c r="AM25" s="336" t="str">
        <f t="shared" si="68"/>
        <v/>
      </c>
      <c r="AN25" s="196"/>
      <c r="AO25" s="432" t="str">
        <f>IF($AF25="","",IF($AF25="-",0, SUMIFS('4. 특출'!$AF$6:$AF$2000,'4. 특출'!$AJ$6:$AJ$2000,$AF25)))</f>
        <v/>
      </c>
      <c r="AP25" s="339" t="str">
        <f>IF($AF25="","",IF($AF25="-", 0, COUNTIF('4. 특출'!$AJ$6:$AJ$2000,$AF25)))</f>
        <v/>
      </c>
      <c r="AQ25" s="336" t="str">
        <f t="shared" si="69"/>
        <v/>
      </c>
    </row>
    <row r="26" spans="1:43" s="135" customFormat="1" ht="69.95" customHeight="1">
      <c r="A26" s="126" t="str">
        <f>IF(D26="","",COUNTA($C$7:C26)-COUNTBLANK($C$7:C26)+4)</f>
        <v/>
      </c>
      <c r="B26" s="127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27" t="str">
        <f>IF(D26="","",IF(OR(D26="교육지원과"),"소방재난본부",VLOOKUP(D26,구분표!$A$3:$C$258,3,)))</f>
        <v/>
      </c>
      <c r="D26" s="194"/>
      <c r="E26" s="181"/>
      <c r="F26" s="350" t="str">
        <f t="shared" si="70"/>
        <v/>
      </c>
      <c r="G26" s="350" t="str">
        <f t="shared" si="70"/>
        <v/>
      </c>
      <c r="H26" s="182"/>
      <c r="I26" s="127" t="str">
        <f>IF(H26="","",VLOOKUP($H26,구분표!$O$3:$P$168,2,FALSE))</f>
        <v/>
      </c>
      <c r="J26" s="183"/>
      <c r="K26" s="419" t="str">
        <f t="shared" si="71"/>
        <v/>
      </c>
      <c r="L26" s="419" t="str">
        <f t="shared" si="72"/>
        <v/>
      </c>
      <c r="M26" s="421" t="str">
        <f t="shared" si="58"/>
        <v/>
      </c>
      <c r="N26" s="420"/>
      <c r="O26" s="421">
        <f t="shared" si="59"/>
        <v>0</v>
      </c>
      <c r="P26" s="422"/>
      <c r="Q26" s="423">
        <f t="shared" si="60"/>
        <v>0</v>
      </c>
      <c r="R26" s="133" t="str">
        <f t="shared" si="61"/>
        <v>X</v>
      </c>
      <c r="S26" s="198"/>
      <c r="T26" s="197"/>
      <c r="U26" s="199"/>
      <c r="V26" s="200"/>
      <c r="W26" s="199"/>
      <c r="X26" s="133" t="str">
        <f t="shared" si="62"/>
        <v/>
      </c>
      <c r="Y26" s="195"/>
      <c r="Z26" s="454" t="str">
        <f t="shared" si="63"/>
        <v/>
      </c>
      <c r="AA26" s="454" t="str">
        <f t="shared" si="64"/>
        <v/>
      </c>
      <c r="AC26" s="454" t="str">
        <f t="shared" si="65"/>
        <v/>
      </c>
      <c r="AD26" s="454" t="str">
        <f t="shared" si="66"/>
        <v/>
      </c>
      <c r="AF26" s="336" t="str">
        <f>IF(AI26="","",IF($X26="도비","-",CONCATENATE(AI26,"-",COUNTIF($AI$7:AI26,AI26))))</f>
        <v/>
      </c>
      <c r="AG26" s="336" t="str">
        <f t="shared" si="67"/>
        <v/>
      </c>
      <c r="AI26" s="336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196"/>
      <c r="AK26" s="432" t="str">
        <f>IF($AF26="","",IF($AF26="-",0, SUMIFS('4. 특출'!$AB$6:$AB$2000,'4. 특출'!$AJ$6:$AJ$2000,$AF26)))</f>
        <v/>
      </c>
      <c r="AL26" s="339" t="str">
        <f>IF($AF26="","",IF($AF26="-", 0, COUNTIF('4. 특출'!$AJ$6:$AJ$2000,$AF26)))</f>
        <v/>
      </c>
      <c r="AM26" s="336" t="str">
        <f t="shared" si="68"/>
        <v/>
      </c>
      <c r="AN26" s="196"/>
      <c r="AO26" s="432" t="str">
        <f>IF($AF26="","",IF($AF26="-",0, SUMIFS('4. 특출'!$AF$6:$AF$2000,'4. 특출'!$AJ$6:$AJ$2000,$AF26)))</f>
        <v/>
      </c>
      <c r="AP26" s="339" t="str">
        <f>IF($AF26="","",IF($AF26="-", 0, COUNTIF('4. 특출'!$AJ$6:$AJ$2000,$AF26)))</f>
        <v/>
      </c>
      <c r="AQ26" s="336" t="str">
        <f t="shared" si="69"/>
        <v/>
      </c>
    </row>
    <row r="27" spans="1:43" ht="69.95" customHeight="1">
      <c r="A27" s="141"/>
      <c r="B27" s="886" t="s">
        <v>765</v>
      </c>
      <c r="C27" s="886"/>
      <c r="D27" s="886"/>
      <c r="E27" s="886"/>
      <c r="F27" s="886"/>
      <c r="G27" s="886"/>
      <c r="H27" s="142"/>
      <c r="I27" s="142"/>
      <c r="J27" s="313" t="str">
        <f>SUBTOTAL(3,J28:J31)&amp;"건"</f>
        <v>0건</v>
      </c>
      <c r="K27" s="418">
        <f t="shared" ref="K27:Q27" si="73">SUBTOTAL(9,K28:K31)</f>
        <v>0</v>
      </c>
      <c r="L27" s="418">
        <f t="shared" si="73"/>
        <v>0</v>
      </c>
      <c r="M27" s="418">
        <f t="shared" si="73"/>
        <v>0</v>
      </c>
      <c r="N27" s="418">
        <f t="shared" si="73"/>
        <v>0</v>
      </c>
      <c r="O27" s="418">
        <f t="shared" si="73"/>
        <v>0</v>
      </c>
      <c r="P27" s="418">
        <f t="shared" si="73"/>
        <v>0</v>
      </c>
      <c r="Q27" s="418">
        <f t="shared" si="73"/>
        <v>0</v>
      </c>
      <c r="R27" s="141"/>
      <c r="S27" s="141"/>
      <c r="T27" s="141"/>
      <c r="U27" s="141"/>
      <c r="V27" s="141"/>
      <c r="W27" s="141"/>
      <c r="X27" s="143"/>
      <c r="Y27" s="42"/>
      <c r="Z27" s="418">
        <f>SUBTOTAL(9,Z28:Z31)</f>
        <v>0</v>
      </c>
      <c r="AA27" s="418">
        <f>SUBTOTAL(9,AA28:AA31)</f>
        <v>0</v>
      </c>
      <c r="AB27" s="43"/>
      <c r="AC27" s="418">
        <f>SUBTOTAL(9,AC28:AC31)</f>
        <v>0</v>
      </c>
      <c r="AD27" s="418">
        <f>SUBTOTAL(9,AD28:AD31)</f>
        <v>0</v>
      </c>
      <c r="AE27" s="43"/>
      <c r="AF27" s="141"/>
      <c r="AG27" s="143"/>
      <c r="AH27" s="43"/>
      <c r="AI27" s="143"/>
      <c r="AJ27" s="43"/>
      <c r="AK27" s="418">
        <f>SUBTOTAL(9,AK28:AK31)</f>
        <v>0</v>
      </c>
      <c r="AL27" s="418">
        <f>SUBTOTAL(9,AL28:AL31)</f>
        <v>0</v>
      </c>
      <c r="AM27" s="510" t="str">
        <f>IF(COUNTIF(AM28:AM31,"@@")&gt;0,"@@","OK")</f>
        <v>OK</v>
      </c>
      <c r="AN27" s="43"/>
      <c r="AO27" s="418">
        <f t="shared" ref="AO27" si="74">SUBTOTAL(9,AO28:AO31)</f>
        <v>0</v>
      </c>
      <c r="AP27" s="418">
        <f t="shared" ref="AP27" si="75">SUBTOTAL(9,AP28:AP31)</f>
        <v>0</v>
      </c>
      <c r="AQ27" s="510" t="str">
        <f>IF(COUNTIF(AQ28:AQ31,"@@")&gt;0,"@@","OK")</f>
        <v>OK</v>
      </c>
    </row>
    <row r="28" spans="1:43" s="135" customFormat="1" ht="69.95" customHeight="1">
      <c r="A28" s="126" t="str">
        <f>IF(D28="","",COUNTA($C$7:C28)-COUNTBLANK($C$7:C28)+5)</f>
        <v/>
      </c>
      <c r="B28" s="127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27" t="str">
        <f>IF(D28="","",IF(OR(D28="교육지원과"),"소방재난본부",VLOOKUP(D28,구분표!$A$3:$C$258,3,)))</f>
        <v/>
      </c>
      <c r="D28" s="194"/>
      <c r="E28" s="181"/>
      <c r="F28" s="350" t="str">
        <f>IF($E28="","",IF($E28="2추","직접입력","-"))</f>
        <v/>
      </c>
      <c r="G28" s="350" t="str">
        <f>IF($E28="","",IF($E28="2추","직접입력","-"))</f>
        <v/>
      </c>
      <c r="H28" s="182"/>
      <c r="I28" s="127" t="str">
        <f>IF(H28="","",VLOOKUP($H28,구분표!$O$3:$P$168,2,FALSE))</f>
        <v/>
      </c>
      <c r="J28" s="183"/>
      <c r="K28" s="419" t="str">
        <f>IF($E28="","",IF(OR($E28="2추", $E28="1추", $E28="본예산"), "금액입력", "-"))</f>
        <v/>
      </c>
      <c r="L28" s="419" t="str">
        <f>IF($E28="", "", IF($E28="2추","금액입력", "-"))</f>
        <v/>
      </c>
      <c r="M28" s="421" t="str">
        <f t="shared" ref="M28:M31" si="76">IF($E28="","",SUM(K28:L28))</f>
        <v/>
      </c>
      <c r="N28" s="420"/>
      <c r="O28" s="421">
        <f t="shared" ref="O28:O31" si="77">SUM(M28:N28)</f>
        <v>0</v>
      </c>
      <c r="P28" s="422"/>
      <c r="Q28" s="423">
        <f t="shared" ref="Q28:Q31" si="78">SUM(M28,P28)</f>
        <v>0</v>
      </c>
      <c r="R28" s="133" t="str">
        <f t="shared" ref="R28:R31" si="79">IF(AND((O28=0),(Q28&gt;0)),"O",IF(AND((N28&lt;0),(O28-Q28&lt;0)),"O","X"))</f>
        <v>X</v>
      </c>
      <c r="S28" s="198"/>
      <c r="T28" s="197"/>
      <c r="U28" s="199"/>
      <c r="V28" s="200"/>
      <c r="W28" s="199"/>
      <c r="X28" s="133" t="str">
        <f t="shared" ref="X28:X31" si="80">IF($H28="","",IF(OR($H28="511-01", $H28="511-02", $H28="511-03", $H28="311-02", $H28="311-04", $H28="321-01"),"국비","도비"))</f>
        <v/>
      </c>
      <c r="Y28" s="195"/>
      <c r="Z28" s="454" t="str">
        <f t="shared" ref="Z28:Z31" si="81">IF($X28="", "", IF($X28="국비",$N28, 0))</f>
        <v/>
      </c>
      <c r="AA28" s="454" t="str">
        <f t="shared" ref="AA28:AA31" si="82">IF($X28="", "", IF($X28="도비",$N28, 0))</f>
        <v/>
      </c>
      <c r="AC28" s="454" t="str">
        <f t="shared" ref="AC28:AC31" si="83">IF($X28="", "", IF($X28="국비",$P28, 0))</f>
        <v/>
      </c>
      <c r="AD28" s="454" t="str">
        <f t="shared" ref="AD28:AD31" si="84">IF($X28="", "", IF($X28="도비",$P28, 0))</f>
        <v/>
      </c>
      <c r="AF28" s="336" t="str">
        <f>IF(AI28="","",IF($X28="도비","-",CONCATENATE(AI28,"-",COUNTIF($AI$7:AI28,AI28))))</f>
        <v/>
      </c>
      <c r="AG28" s="336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36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196"/>
      <c r="AK28" s="432" t="str">
        <f>IF($AF28="","",IF($AF28="-",0, SUMIFS('4. 특출'!$AB$6:$AB$2000,'4. 특출'!$AJ$6:$AJ$2000,$AF28)))</f>
        <v/>
      </c>
      <c r="AL28" s="339" t="str">
        <f>IF($AF28="","",IF($AF28="-", 0, COUNTIF('4. 특출'!$AJ$6:$AJ$2000,$AF28)))</f>
        <v/>
      </c>
      <c r="AM28" s="336" t="str">
        <f t="shared" ref="AM28:AM31" si="86">IF($AF28="", "", IF($Z28=$AK28,"OK","@@"))</f>
        <v/>
      </c>
      <c r="AN28" s="196"/>
      <c r="AO28" s="432" t="str">
        <f>IF($AF28="","",IF($AF28="-",0, SUMIFS('4. 특출'!$AF$6:$AF$2000,'4. 특출'!$AJ$6:$AJ$2000,$AF28)))</f>
        <v/>
      </c>
      <c r="AP28" s="339" t="str">
        <f>IF($AF28="","",IF($AF28="-", 0, COUNTIF('4. 특출'!$AJ$6:$AJ$2000,$AF28)))</f>
        <v/>
      </c>
      <c r="AQ28" s="336" t="str">
        <f t="shared" ref="AQ28:AQ31" si="87">IF($AF28="", "", IF($AC28=$AO28,"OK","@@"))</f>
        <v/>
      </c>
    </row>
    <row r="29" spans="1:43" s="135" customFormat="1" ht="69.95" customHeight="1">
      <c r="A29" s="126" t="str">
        <f>IF(D29="","",COUNTA($C$7:C29)-COUNTBLANK($C$7:C29)+5)</f>
        <v/>
      </c>
      <c r="B29" s="127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27" t="str">
        <f>IF(D29="","",IF(OR(D29="교육지원과"),"소방재난본부",VLOOKUP(D29,구분표!$A$3:$C$258,3,)))</f>
        <v/>
      </c>
      <c r="D29" s="194"/>
      <c r="E29" s="181"/>
      <c r="F29" s="350" t="str">
        <f t="shared" ref="F29:G31" si="88">IF($E29="","",IF($E29="2추","직접입력","-"))</f>
        <v/>
      </c>
      <c r="G29" s="350" t="str">
        <f t="shared" si="88"/>
        <v/>
      </c>
      <c r="H29" s="182"/>
      <c r="I29" s="127" t="str">
        <f>IF(H29="","",VLOOKUP($H29,구분표!$O$3:$P$168,2,FALSE))</f>
        <v/>
      </c>
      <c r="J29" s="183"/>
      <c r="K29" s="419" t="str">
        <f t="shared" ref="K29:K31" si="89">IF($E29="","",IF(OR($E29="2추", $E29="1추", $E29="본예산"), "금액입력", "-"))</f>
        <v/>
      </c>
      <c r="L29" s="419" t="str">
        <f t="shared" ref="L29:L31" si="90">IF($E29="", "", IF($E29="2추","금액입력", "-"))</f>
        <v/>
      </c>
      <c r="M29" s="421" t="str">
        <f t="shared" si="76"/>
        <v/>
      </c>
      <c r="N29" s="420"/>
      <c r="O29" s="421">
        <f t="shared" si="77"/>
        <v>0</v>
      </c>
      <c r="P29" s="422"/>
      <c r="Q29" s="423">
        <f t="shared" si="78"/>
        <v>0</v>
      </c>
      <c r="R29" s="133" t="str">
        <f t="shared" si="79"/>
        <v>X</v>
      </c>
      <c r="S29" s="198"/>
      <c r="T29" s="197"/>
      <c r="U29" s="199"/>
      <c r="V29" s="200"/>
      <c r="W29" s="199"/>
      <c r="X29" s="133" t="str">
        <f t="shared" si="80"/>
        <v/>
      </c>
      <c r="Y29" s="195"/>
      <c r="Z29" s="454" t="str">
        <f t="shared" si="81"/>
        <v/>
      </c>
      <c r="AA29" s="454" t="str">
        <f t="shared" si="82"/>
        <v/>
      </c>
      <c r="AC29" s="454" t="str">
        <f t="shared" si="83"/>
        <v/>
      </c>
      <c r="AD29" s="454" t="str">
        <f t="shared" si="84"/>
        <v/>
      </c>
      <c r="AF29" s="336" t="str">
        <f>IF(AI29="","",IF($X29="도비","-",CONCATENATE(AI29,"-",COUNTIF($AI$7:AI29,AI29))))</f>
        <v/>
      </c>
      <c r="AG29" s="336" t="str">
        <f t="shared" si="85"/>
        <v/>
      </c>
      <c r="AI29" s="336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196"/>
      <c r="AK29" s="432" t="str">
        <f>IF($AF29="","",IF($AF29="-",0, SUMIFS('4. 특출'!$AB$6:$AB$2000,'4. 특출'!$AJ$6:$AJ$2000,$AF29)))</f>
        <v/>
      </c>
      <c r="AL29" s="339" t="str">
        <f>IF($AF29="","",IF($AF29="-", 0, COUNTIF('4. 특출'!$AJ$6:$AJ$2000,$AF29)))</f>
        <v/>
      </c>
      <c r="AM29" s="336" t="str">
        <f t="shared" si="86"/>
        <v/>
      </c>
      <c r="AN29" s="196"/>
      <c r="AO29" s="432" t="str">
        <f>IF($AF29="","",IF($AF29="-",0, SUMIFS('4. 특출'!$AF$6:$AF$2000,'4. 특출'!$AJ$6:$AJ$2000,$AF29)))</f>
        <v/>
      </c>
      <c r="AP29" s="339" t="str">
        <f>IF($AF29="","",IF($AF29="-", 0, COUNTIF('4. 특출'!$AJ$6:$AJ$2000,$AF29)))</f>
        <v/>
      </c>
      <c r="AQ29" s="336" t="str">
        <f t="shared" si="87"/>
        <v/>
      </c>
    </row>
    <row r="30" spans="1:43" s="135" customFormat="1" ht="69.95" customHeight="1">
      <c r="A30" s="126" t="str">
        <f>IF(D30="","",COUNTA($C$7:C30)-COUNTBLANK($C$7:C30)+5)</f>
        <v/>
      </c>
      <c r="B30" s="127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27" t="str">
        <f>IF(D30="","",IF(OR(D30="교육지원과"),"소방재난본부",VLOOKUP(D30,구분표!$A$3:$C$258,3,)))</f>
        <v/>
      </c>
      <c r="D30" s="194"/>
      <c r="E30" s="181"/>
      <c r="F30" s="350" t="str">
        <f t="shared" si="88"/>
        <v/>
      </c>
      <c r="G30" s="350" t="str">
        <f t="shared" si="88"/>
        <v/>
      </c>
      <c r="H30" s="182"/>
      <c r="I30" s="127" t="str">
        <f>IF(H30="","",VLOOKUP($H30,구분표!$O$3:$P$168,2,FALSE))</f>
        <v/>
      </c>
      <c r="J30" s="183"/>
      <c r="K30" s="419" t="str">
        <f t="shared" si="89"/>
        <v/>
      </c>
      <c r="L30" s="419" t="str">
        <f t="shared" si="90"/>
        <v/>
      </c>
      <c r="M30" s="421" t="str">
        <f t="shared" si="76"/>
        <v/>
      </c>
      <c r="N30" s="420"/>
      <c r="O30" s="421">
        <f t="shared" si="77"/>
        <v>0</v>
      </c>
      <c r="P30" s="422"/>
      <c r="Q30" s="423">
        <f t="shared" si="78"/>
        <v>0</v>
      </c>
      <c r="R30" s="133" t="str">
        <f t="shared" si="79"/>
        <v>X</v>
      </c>
      <c r="S30" s="198"/>
      <c r="T30" s="197"/>
      <c r="U30" s="199"/>
      <c r="V30" s="200"/>
      <c r="W30" s="199"/>
      <c r="X30" s="133" t="str">
        <f t="shared" si="80"/>
        <v/>
      </c>
      <c r="Y30" s="195"/>
      <c r="Z30" s="454" t="str">
        <f t="shared" si="81"/>
        <v/>
      </c>
      <c r="AA30" s="454" t="str">
        <f t="shared" si="82"/>
        <v/>
      </c>
      <c r="AC30" s="454" t="str">
        <f t="shared" si="83"/>
        <v/>
      </c>
      <c r="AD30" s="454" t="str">
        <f t="shared" si="84"/>
        <v/>
      </c>
      <c r="AF30" s="336" t="str">
        <f>IF(AI30="","",IF($X30="도비","-",CONCATENATE(AI30,"-",COUNTIF($AI$7:AI30,AI30))))</f>
        <v/>
      </c>
      <c r="AG30" s="336" t="str">
        <f t="shared" si="85"/>
        <v/>
      </c>
      <c r="AI30" s="336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196"/>
      <c r="AK30" s="432" t="str">
        <f>IF($AF30="","",IF($AF30="-",0, SUMIFS('4. 특출'!$AB$6:$AB$2000,'4. 특출'!$AJ$6:$AJ$2000,$AF30)))</f>
        <v/>
      </c>
      <c r="AL30" s="339" t="str">
        <f>IF($AF30="","",IF($AF30="-", 0, COUNTIF('4. 특출'!$AJ$6:$AJ$2000,$AF30)))</f>
        <v/>
      </c>
      <c r="AM30" s="336" t="str">
        <f t="shared" si="86"/>
        <v/>
      </c>
      <c r="AN30" s="196"/>
      <c r="AO30" s="432" t="str">
        <f>IF($AF30="","",IF($AF30="-",0, SUMIFS('4. 특출'!$AF$6:$AF$2000,'4. 특출'!$AJ$6:$AJ$2000,$AF30)))</f>
        <v/>
      </c>
      <c r="AP30" s="339" t="str">
        <f>IF($AF30="","",IF($AF30="-", 0, COUNTIF('4. 특출'!$AJ$6:$AJ$2000,$AF30)))</f>
        <v/>
      </c>
      <c r="AQ30" s="336" t="str">
        <f t="shared" si="87"/>
        <v/>
      </c>
    </row>
    <row r="31" spans="1:43" s="135" customFormat="1" ht="69.95" customHeight="1">
      <c r="A31" s="126" t="str">
        <f>IF(D31="","",COUNTA($C$7:C31)-COUNTBLANK($C$7:C31)+5)</f>
        <v/>
      </c>
      <c r="B31" s="127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27" t="str">
        <f>IF(D31="","",IF(OR(D31="교육지원과"),"소방재난본부",VLOOKUP(D31,구분표!$A$3:$C$258,3,)))</f>
        <v/>
      </c>
      <c r="D31" s="194"/>
      <c r="E31" s="181"/>
      <c r="F31" s="350" t="str">
        <f t="shared" si="88"/>
        <v/>
      </c>
      <c r="G31" s="350" t="str">
        <f t="shared" si="88"/>
        <v/>
      </c>
      <c r="H31" s="182"/>
      <c r="I31" s="127" t="str">
        <f>IF(H31="","",VLOOKUP($H31,구분표!$O$3:$P$168,2,FALSE))</f>
        <v/>
      </c>
      <c r="J31" s="183"/>
      <c r="K31" s="419" t="str">
        <f t="shared" si="89"/>
        <v/>
      </c>
      <c r="L31" s="419" t="str">
        <f t="shared" si="90"/>
        <v/>
      </c>
      <c r="M31" s="421" t="str">
        <f t="shared" si="76"/>
        <v/>
      </c>
      <c r="N31" s="420"/>
      <c r="O31" s="421">
        <f t="shared" si="77"/>
        <v>0</v>
      </c>
      <c r="P31" s="422"/>
      <c r="Q31" s="423">
        <f t="shared" si="78"/>
        <v>0</v>
      </c>
      <c r="R31" s="133" t="str">
        <f t="shared" si="79"/>
        <v>X</v>
      </c>
      <c r="S31" s="198"/>
      <c r="T31" s="197"/>
      <c r="U31" s="199"/>
      <c r="V31" s="200"/>
      <c r="W31" s="199"/>
      <c r="X31" s="133" t="str">
        <f t="shared" si="80"/>
        <v/>
      </c>
      <c r="Y31" s="195"/>
      <c r="Z31" s="454" t="str">
        <f t="shared" si="81"/>
        <v/>
      </c>
      <c r="AA31" s="454" t="str">
        <f t="shared" si="82"/>
        <v/>
      </c>
      <c r="AC31" s="454" t="str">
        <f t="shared" si="83"/>
        <v/>
      </c>
      <c r="AD31" s="454" t="str">
        <f t="shared" si="84"/>
        <v/>
      </c>
      <c r="AF31" s="336" t="str">
        <f>IF(AI31="","",IF($X31="도비","-",CONCATENATE(AI31,"-",COUNTIF($AI$7:AI31,AI31))))</f>
        <v/>
      </c>
      <c r="AG31" s="336" t="str">
        <f t="shared" si="85"/>
        <v/>
      </c>
      <c r="AI31" s="336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196"/>
      <c r="AK31" s="432" t="str">
        <f>IF($AF31="","",IF($AF31="-",0, SUMIFS('4. 특출'!$AB$6:$AB$2000,'4. 특출'!$AJ$6:$AJ$2000,$AF31)))</f>
        <v/>
      </c>
      <c r="AL31" s="339" t="str">
        <f>IF($AF31="","",IF($AF31="-", 0, COUNTIF('4. 특출'!$AJ$6:$AJ$2000,$AF31)))</f>
        <v/>
      </c>
      <c r="AM31" s="336" t="str">
        <f t="shared" si="86"/>
        <v/>
      </c>
      <c r="AN31" s="196"/>
      <c r="AO31" s="432" t="str">
        <f>IF($AF31="","",IF($AF31="-",0, SUMIFS('4. 특출'!$AF$6:$AF$2000,'4. 특출'!$AJ$6:$AJ$2000,$AF31)))</f>
        <v/>
      </c>
      <c r="AP31" s="339" t="str">
        <f>IF($AF31="","",IF($AF31="-", 0, COUNTIF('4. 특출'!$AJ$6:$AJ$2000,$AF31)))</f>
        <v/>
      </c>
      <c r="AQ31" s="336" t="str">
        <f t="shared" si="87"/>
        <v/>
      </c>
    </row>
    <row r="32" spans="1:43" ht="69.95" customHeight="1">
      <c r="A32" s="141"/>
      <c r="B32" s="886" t="s">
        <v>770</v>
      </c>
      <c r="C32" s="886"/>
      <c r="D32" s="886"/>
      <c r="E32" s="886"/>
      <c r="F32" s="886"/>
      <c r="G32" s="886"/>
      <c r="H32" s="142"/>
      <c r="I32" s="142"/>
      <c r="J32" s="313" t="str">
        <f>SUBTOTAL(3,J33:J36)&amp;"건"</f>
        <v>0건</v>
      </c>
      <c r="K32" s="418">
        <f t="shared" ref="K32:Q32" si="91">SUBTOTAL(9,K33:K36)</f>
        <v>0</v>
      </c>
      <c r="L32" s="418">
        <f t="shared" si="91"/>
        <v>0</v>
      </c>
      <c r="M32" s="418">
        <f t="shared" si="91"/>
        <v>0</v>
      </c>
      <c r="N32" s="418">
        <f t="shared" si="91"/>
        <v>0</v>
      </c>
      <c r="O32" s="418">
        <f t="shared" si="91"/>
        <v>0</v>
      </c>
      <c r="P32" s="418">
        <f t="shared" si="91"/>
        <v>0</v>
      </c>
      <c r="Q32" s="418">
        <f t="shared" si="91"/>
        <v>0</v>
      </c>
      <c r="R32" s="141"/>
      <c r="S32" s="141"/>
      <c r="T32" s="141"/>
      <c r="U32" s="141"/>
      <c r="V32" s="141"/>
      <c r="W32" s="141"/>
      <c r="X32" s="143"/>
      <c r="Y32" s="42"/>
      <c r="Z32" s="418">
        <f>SUBTOTAL(9,Z33:Z36)</f>
        <v>0</v>
      </c>
      <c r="AA32" s="418">
        <f>SUBTOTAL(9,AA33:AA36)</f>
        <v>0</v>
      </c>
      <c r="AB32" s="43"/>
      <c r="AC32" s="418">
        <f>SUBTOTAL(9,AC33:AC36)</f>
        <v>0</v>
      </c>
      <c r="AD32" s="418">
        <f>SUBTOTAL(9,AD33:AD36)</f>
        <v>0</v>
      </c>
      <c r="AE32" s="43"/>
      <c r="AF32" s="141"/>
      <c r="AG32" s="143"/>
      <c r="AH32" s="43"/>
      <c r="AI32" s="143"/>
      <c r="AJ32" s="43"/>
      <c r="AK32" s="418">
        <f>SUBTOTAL(9,AK33:AK36)</f>
        <v>0</v>
      </c>
      <c r="AL32" s="418">
        <f>SUBTOTAL(9,AL33:AL36)</f>
        <v>0</v>
      </c>
      <c r="AM32" s="510" t="str">
        <f>IF(COUNTIF(AM33:AM36,"@@")&gt;0,"@@","OK")</f>
        <v>OK</v>
      </c>
      <c r="AN32" s="43"/>
      <c r="AO32" s="418">
        <f t="shared" ref="AO32" si="92">SUBTOTAL(9,AO33:AO36)</f>
        <v>0</v>
      </c>
      <c r="AP32" s="418">
        <f t="shared" ref="AP32" si="93">SUBTOTAL(9,AP33:AP36)</f>
        <v>0</v>
      </c>
      <c r="AQ32" s="510" t="str">
        <f>IF(COUNTIF(AQ33:AQ36,"@@")&gt;0,"@@","OK")</f>
        <v>OK</v>
      </c>
    </row>
    <row r="33" spans="1:43" s="135" customFormat="1" ht="69.95" customHeight="1">
      <c r="A33" s="126" t="str">
        <f>IF(D33="","",COUNTA($C$7:C33)-COUNTBLANK($C$7:C33)+6)</f>
        <v/>
      </c>
      <c r="B33" s="127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27" t="str">
        <f>IF(D33="","",IF(OR(D33="교육지원과"),"소방재난본부",VLOOKUP(D33,구분표!$A$3:$C$258,3,)))</f>
        <v/>
      </c>
      <c r="D33" s="194"/>
      <c r="E33" s="181"/>
      <c r="F33" s="350" t="str">
        <f>IF($E33="","",IF($E33="2추","직접입력","-"))</f>
        <v/>
      </c>
      <c r="G33" s="350" t="str">
        <f>IF($E33="","",IF($E33="2추","직접입력","-"))</f>
        <v/>
      </c>
      <c r="H33" s="182"/>
      <c r="I33" s="127" t="str">
        <f>IF(H33="","",VLOOKUP($H33,구분표!$O$3:$P$168,2,FALSE))</f>
        <v/>
      </c>
      <c r="J33" s="183"/>
      <c r="K33" s="419" t="str">
        <f>IF($E33="","",IF(OR($E33="2추", $E33="1추", $E33="본예산"), "금액입력", "-"))</f>
        <v/>
      </c>
      <c r="L33" s="419" t="str">
        <f>IF($E33="", "", IF($E33="2추","금액입력", "-"))</f>
        <v/>
      </c>
      <c r="M33" s="421" t="str">
        <f t="shared" ref="M33:M36" si="94">IF($E33="","",SUM(K33:L33))</f>
        <v/>
      </c>
      <c r="N33" s="420"/>
      <c r="O33" s="421">
        <f t="shared" ref="O33:O36" si="95">SUM(M33:N33)</f>
        <v>0</v>
      </c>
      <c r="P33" s="422"/>
      <c r="Q33" s="423">
        <f t="shared" ref="Q33:Q36" si="96">SUM(M33,P33)</f>
        <v>0</v>
      </c>
      <c r="R33" s="133" t="str">
        <f t="shared" ref="R33:R36" si="97">IF(AND((O33=0),(Q33&gt;0)),"O",IF(AND((N33&lt;0),(O33-Q33&lt;0)),"O","X"))</f>
        <v>X</v>
      </c>
      <c r="S33" s="198"/>
      <c r="T33" s="197"/>
      <c r="U33" s="199"/>
      <c r="V33" s="200"/>
      <c r="W33" s="199"/>
      <c r="X33" s="133" t="str">
        <f t="shared" ref="X33:X36" si="98">IF($H33="","",IF(OR($H33="511-01", $H33="511-02", $H33="511-03", $H33="311-02", $H33="311-04", $H33="321-01"),"국비","도비"))</f>
        <v/>
      </c>
      <c r="Y33" s="195"/>
      <c r="Z33" s="454" t="str">
        <f t="shared" ref="Z33:Z36" si="99">IF($X33="", "", IF($X33="국비",$N33, 0))</f>
        <v/>
      </c>
      <c r="AA33" s="454" t="str">
        <f t="shared" ref="AA33:AA36" si="100">IF($X33="", "", IF($X33="도비",$N33, 0))</f>
        <v/>
      </c>
      <c r="AC33" s="454" t="str">
        <f t="shared" ref="AC33:AC36" si="101">IF($X33="", "", IF($X33="국비",$P33, 0))</f>
        <v/>
      </c>
      <c r="AD33" s="454" t="str">
        <f t="shared" ref="AD33:AD36" si="102">IF($X33="", "", IF($X33="도비",$P33, 0))</f>
        <v/>
      </c>
      <c r="AF33" s="336" t="str">
        <f>IF(AI33="","",IF($X33="도비","-",CONCATENATE(AI33,"-",COUNTIF($AI$7:AI33,AI33))))</f>
        <v/>
      </c>
      <c r="AG33" s="336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36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196"/>
      <c r="AK33" s="432" t="str">
        <f>IF($AF33="","",IF($AF33="-",0, SUMIFS('4. 특출'!$AB$6:$AB$2000,'4. 특출'!$AJ$6:$AJ$2000,$AF33)))</f>
        <v/>
      </c>
      <c r="AL33" s="339" t="str">
        <f>IF($AF33="","",IF($AF33="-", 0, COUNTIF('4. 특출'!$AJ$6:$AJ$2000,$AF33)))</f>
        <v/>
      </c>
      <c r="AM33" s="336" t="str">
        <f t="shared" ref="AM33:AM36" si="104">IF($AF33="", "", IF($Z33=$AK33,"OK","@@"))</f>
        <v/>
      </c>
      <c r="AN33" s="196"/>
      <c r="AO33" s="432" t="str">
        <f>IF($AF33="","",IF($AF33="-",0, SUMIFS('4. 특출'!$AF$6:$AF$2000,'4. 특출'!$AJ$6:$AJ$2000,$AF33)))</f>
        <v/>
      </c>
      <c r="AP33" s="339" t="str">
        <f>IF($AF33="","",IF($AF33="-", 0, COUNTIF('4. 특출'!$AJ$6:$AJ$2000,$AF33)))</f>
        <v/>
      </c>
      <c r="AQ33" s="336" t="str">
        <f t="shared" ref="AQ33:AQ36" si="105">IF($AF33="", "", IF($AC33=$AO33,"OK","@@"))</f>
        <v/>
      </c>
    </row>
    <row r="34" spans="1:43" s="135" customFormat="1" ht="69.95" customHeight="1">
      <c r="A34" s="126" t="str">
        <f>IF(D34="","",COUNTA($C$7:C34)-COUNTBLANK($C$7:C34)+6)</f>
        <v/>
      </c>
      <c r="B34" s="127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27" t="str">
        <f>IF(D34="","",IF(OR(D34="교육지원과"),"소방재난본부",VLOOKUP(D34,구분표!$A$3:$C$258,3,)))</f>
        <v/>
      </c>
      <c r="D34" s="194"/>
      <c r="E34" s="181"/>
      <c r="F34" s="350" t="str">
        <f t="shared" ref="F34:G36" si="106">IF($E34="","",IF($E34="2추","직접입력","-"))</f>
        <v/>
      </c>
      <c r="G34" s="350" t="str">
        <f t="shared" si="106"/>
        <v/>
      </c>
      <c r="H34" s="182"/>
      <c r="I34" s="127" t="str">
        <f>IF(H34="","",VLOOKUP($H34,구분표!$O$3:$P$168,2,FALSE))</f>
        <v/>
      </c>
      <c r="J34" s="183"/>
      <c r="K34" s="419" t="str">
        <f t="shared" ref="K34:K36" si="107">IF($E34="","",IF(OR($E34="2추", $E34="1추", $E34="본예산"), "금액입력", "-"))</f>
        <v/>
      </c>
      <c r="L34" s="419" t="str">
        <f t="shared" ref="L34:L36" si="108">IF($E34="", "", IF($E34="2추","금액입력", "-"))</f>
        <v/>
      </c>
      <c r="M34" s="421" t="str">
        <f t="shared" si="94"/>
        <v/>
      </c>
      <c r="N34" s="420"/>
      <c r="O34" s="421">
        <f t="shared" si="95"/>
        <v>0</v>
      </c>
      <c r="P34" s="422"/>
      <c r="Q34" s="423">
        <f t="shared" si="96"/>
        <v>0</v>
      </c>
      <c r="R34" s="133" t="str">
        <f t="shared" si="97"/>
        <v>X</v>
      </c>
      <c r="S34" s="198"/>
      <c r="T34" s="197"/>
      <c r="U34" s="199"/>
      <c r="V34" s="200"/>
      <c r="W34" s="199"/>
      <c r="X34" s="133" t="str">
        <f t="shared" si="98"/>
        <v/>
      </c>
      <c r="Y34" s="195"/>
      <c r="Z34" s="454" t="str">
        <f t="shared" si="99"/>
        <v/>
      </c>
      <c r="AA34" s="454" t="str">
        <f t="shared" si="100"/>
        <v/>
      </c>
      <c r="AC34" s="454" t="str">
        <f t="shared" si="101"/>
        <v/>
      </c>
      <c r="AD34" s="454" t="str">
        <f t="shared" si="102"/>
        <v/>
      </c>
      <c r="AF34" s="336" t="str">
        <f>IF(AI34="","",IF($X34="도비","-",CONCATENATE(AI34,"-",COUNTIF($AI$7:AI34,AI34))))</f>
        <v/>
      </c>
      <c r="AG34" s="336" t="str">
        <f t="shared" si="103"/>
        <v/>
      </c>
      <c r="AI34" s="336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196"/>
      <c r="AK34" s="432" t="str">
        <f>IF($AF34="","",IF($AF34="-",0, SUMIFS('4. 특출'!$AB$6:$AB$2000,'4. 특출'!$AJ$6:$AJ$2000,$AF34)))</f>
        <v/>
      </c>
      <c r="AL34" s="339" t="str">
        <f>IF($AF34="","",IF($AF34="-", 0, COUNTIF('4. 특출'!$AJ$6:$AJ$2000,$AF34)))</f>
        <v/>
      </c>
      <c r="AM34" s="336" t="str">
        <f t="shared" si="104"/>
        <v/>
      </c>
      <c r="AN34" s="196"/>
      <c r="AO34" s="432" t="str">
        <f>IF($AF34="","",IF($AF34="-",0, SUMIFS('4. 특출'!$AF$6:$AF$2000,'4. 특출'!$AJ$6:$AJ$2000,$AF34)))</f>
        <v/>
      </c>
      <c r="AP34" s="339" t="str">
        <f>IF($AF34="","",IF($AF34="-", 0, COUNTIF('4. 특출'!$AJ$6:$AJ$2000,$AF34)))</f>
        <v/>
      </c>
      <c r="AQ34" s="336" t="str">
        <f t="shared" si="105"/>
        <v/>
      </c>
    </row>
    <row r="35" spans="1:43" s="135" customFormat="1" ht="69.95" customHeight="1">
      <c r="A35" s="126" t="str">
        <f>IF(D35="","",COUNTA($C$7:C35)-COUNTBLANK($C$7:C35)+6)</f>
        <v/>
      </c>
      <c r="B35" s="127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27" t="str">
        <f>IF(D35="","",IF(OR(D35="교육지원과"),"소방재난본부",VLOOKUP(D35,구분표!$A$3:$C$258,3,)))</f>
        <v/>
      </c>
      <c r="D35" s="194"/>
      <c r="E35" s="181"/>
      <c r="F35" s="350" t="str">
        <f t="shared" si="106"/>
        <v/>
      </c>
      <c r="G35" s="350" t="str">
        <f t="shared" si="106"/>
        <v/>
      </c>
      <c r="H35" s="182"/>
      <c r="I35" s="127" t="str">
        <f>IF(H35="","",VLOOKUP($H35,구분표!$O$3:$P$168,2,FALSE))</f>
        <v/>
      </c>
      <c r="J35" s="183"/>
      <c r="K35" s="419" t="str">
        <f t="shared" si="107"/>
        <v/>
      </c>
      <c r="L35" s="419" t="str">
        <f t="shared" si="108"/>
        <v/>
      </c>
      <c r="M35" s="421" t="str">
        <f t="shared" si="94"/>
        <v/>
      </c>
      <c r="N35" s="420"/>
      <c r="O35" s="421">
        <f t="shared" si="95"/>
        <v>0</v>
      </c>
      <c r="P35" s="422"/>
      <c r="Q35" s="423">
        <f t="shared" si="96"/>
        <v>0</v>
      </c>
      <c r="R35" s="133" t="str">
        <f t="shared" si="97"/>
        <v>X</v>
      </c>
      <c r="S35" s="198"/>
      <c r="T35" s="197"/>
      <c r="U35" s="199"/>
      <c r="V35" s="200"/>
      <c r="W35" s="199"/>
      <c r="X35" s="133" t="str">
        <f t="shared" si="98"/>
        <v/>
      </c>
      <c r="Y35" s="195"/>
      <c r="Z35" s="454" t="str">
        <f t="shared" si="99"/>
        <v/>
      </c>
      <c r="AA35" s="454" t="str">
        <f t="shared" si="100"/>
        <v/>
      </c>
      <c r="AC35" s="454" t="str">
        <f t="shared" si="101"/>
        <v/>
      </c>
      <c r="AD35" s="454" t="str">
        <f t="shared" si="102"/>
        <v/>
      </c>
      <c r="AF35" s="336" t="str">
        <f>IF(AI35="","",IF($X35="도비","-",CONCATENATE(AI35,"-",COUNTIF($AI$7:AI35,AI35))))</f>
        <v/>
      </c>
      <c r="AG35" s="336" t="str">
        <f t="shared" si="103"/>
        <v/>
      </c>
      <c r="AI35" s="336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196"/>
      <c r="AK35" s="432" t="str">
        <f>IF($AF35="","",IF($AF35="-",0, SUMIFS('4. 특출'!$AB$6:$AB$2000,'4. 특출'!$AJ$6:$AJ$2000,$AF35)))</f>
        <v/>
      </c>
      <c r="AL35" s="339" t="str">
        <f>IF($AF35="","",IF($AF35="-", 0, COUNTIF('4. 특출'!$AJ$6:$AJ$2000,$AF35)))</f>
        <v/>
      </c>
      <c r="AM35" s="336" t="str">
        <f t="shared" si="104"/>
        <v/>
      </c>
      <c r="AN35" s="196"/>
      <c r="AO35" s="432" t="str">
        <f>IF($AF35="","",IF($AF35="-",0, SUMIFS('4. 특출'!$AF$6:$AF$2000,'4. 특출'!$AJ$6:$AJ$2000,$AF35)))</f>
        <v/>
      </c>
      <c r="AP35" s="339" t="str">
        <f>IF($AF35="","",IF($AF35="-", 0, COUNTIF('4. 특출'!$AJ$6:$AJ$2000,$AF35)))</f>
        <v/>
      </c>
      <c r="AQ35" s="336" t="str">
        <f t="shared" si="105"/>
        <v/>
      </c>
    </row>
    <row r="36" spans="1:43" s="135" customFormat="1" ht="69.95" customHeight="1">
      <c r="A36" s="126" t="str">
        <f>IF(D36="","",COUNTA($C$7:C36)-COUNTBLANK($C$7:C36)+6)</f>
        <v/>
      </c>
      <c r="B36" s="127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27" t="str">
        <f>IF(D36="","",IF(OR(D36="교육지원과"),"소방재난본부",VLOOKUP(D36,구분표!$A$3:$C$258,3,)))</f>
        <v/>
      </c>
      <c r="D36" s="194"/>
      <c r="E36" s="181"/>
      <c r="F36" s="350" t="str">
        <f t="shared" si="106"/>
        <v/>
      </c>
      <c r="G36" s="350" t="str">
        <f t="shared" si="106"/>
        <v/>
      </c>
      <c r="H36" s="182"/>
      <c r="I36" s="127" t="str">
        <f>IF(H36="","",VLOOKUP($H36,구분표!$O$3:$P$168,2,FALSE))</f>
        <v/>
      </c>
      <c r="J36" s="183"/>
      <c r="K36" s="419" t="str">
        <f t="shared" si="107"/>
        <v/>
      </c>
      <c r="L36" s="419" t="str">
        <f t="shared" si="108"/>
        <v/>
      </c>
      <c r="M36" s="421" t="str">
        <f t="shared" si="94"/>
        <v/>
      </c>
      <c r="N36" s="420"/>
      <c r="O36" s="421">
        <f t="shared" si="95"/>
        <v>0</v>
      </c>
      <c r="P36" s="422"/>
      <c r="Q36" s="423">
        <f t="shared" si="96"/>
        <v>0</v>
      </c>
      <c r="R36" s="133" t="str">
        <f t="shared" si="97"/>
        <v>X</v>
      </c>
      <c r="S36" s="198"/>
      <c r="T36" s="197"/>
      <c r="U36" s="199"/>
      <c r="V36" s="200"/>
      <c r="W36" s="199"/>
      <c r="X36" s="133" t="str">
        <f t="shared" si="98"/>
        <v/>
      </c>
      <c r="Y36" s="195"/>
      <c r="Z36" s="454" t="str">
        <f t="shared" si="99"/>
        <v/>
      </c>
      <c r="AA36" s="454" t="str">
        <f t="shared" si="100"/>
        <v/>
      </c>
      <c r="AC36" s="454" t="str">
        <f t="shared" si="101"/>
        <v/>
      </c>
      <c r="AD36" s="454" t="str">
        <f t="shared" si="102"/>
        <v/>
      </c>
      <c r="AF36" s="336" t="str">
        <f>IF(AI36="","",IF($X36="도비","-",CONCATENATE(AI36,"-",COUNTIF($AI$7:AI36,AI36))))</f>
        <v/>
      </c>
      <c r="AG36" s="336" t="str">
        <f t="shared" si="103"/>
        <v/>
      </c>
      <c r="AI36" s="336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196"/>
      <c r="AK36" s="432" t="str">
        <f>IF($AF36="","",IF($AF36="-",0, SUMIFS('4. 특출'!$AB$6:$AB$2000,'4. 특출'!$AJ$6:$AJ$2000,$AF36)))</f>
        <v/>
      </c>
      <c r="AL36" s="339" t="str">
        <f>IF($AF36="","",IF($AF36="-", 0, COUNTIF('4. 특출'!$AJ$6:$AJ$2000,$AF36)))</f>
        <v/>
      </c>
      <c r="AM36" s="336" t="str">
        <f t="shared" si="104"/>
        <v/>
      </c>
      <c r="AN36" s="196"/>
      <c r="AO36" s="432" t="str">
        <f>IF($AF36="","",IF($AF36="-",0, SUMIFS('4. 특출'!$AF$6:$AF$2000,'4. 특출'!$AJ$6:$AJ$2000,$AF36)))</f>
        <v/>
      </c>
      <c r="AP36" s="339" t="str">
        <f>IF($AF36="","",IF($AF36="-", 0, COUNTIF('4. 특출'!$AJ$6:$AJ$2000,$AF36)))</f>
        <v/>
      </c>
      <c r="AQ36" s="336" t="str">
        <f t="shared" si="105"/>
        <v/>
      </c>
    </row>
    <row r="37" spans="1:43" ht="69.95" customHeight="1">
      <c r="A37" s="141"/>
      <c r="B37" s="886" t="s">
        <v>1060</v>
      </c>
      <c r="C37" s="886"/>
      <c r="D37" s="886"/>
      <c r="E37" s="886"/>
      <c r="F37" s="886"/>
      <c r="G37" s="886"/>
      <c r="H37" s="142"/>
      <c r="I37" s="142"/>
      <c r="J37" s="313" t="str">
        <f>SUBTOTAL(3,J38:J41)&amp;"건"</f>
        <v>0건</v>
      </c>
      <c r="K37" s="418">
        <f t="shared" ref="K37:Q37" si="109">SUBTOTAL(9,K38:K41)</f>
        <v>0</v>
      </c>
      <c r="L37" s="418">
        <f t="shared" si="109"/>
        <v>0</v>
      </c>
      <c r="M37" s="418">
        <f t="shared" si="109"/>
        <v>0</v>
      </c>
      <c r="N37" s="418">
        <f t="shared" si="109"/>
        <v>0</v>
      </c>
      <c r="O37" s="418">
        <f t="shared" si="109"/>
        <v>0</v>
      </c>
      <c r="P37" s="418">
        <f t="shared" si="109"/>
        <v>0</v>
      </c>
      <c r="Q37" s="418">
        <f t="shared" si="109"/>
        <v>0</v>
      </c>
      <c r="R37" s="141"/>
      <c r="S37" s="141"/>
      <c r="T37" s="141"/>
      <c r="U37" s="141"/>
      <c r="V37" s="141"/>
      <c r="W37" s="141"/>
      <c r="X37" s="143"/>
      <c r="Y37" s="42"/>
      <c r="Z37" s="418">
        <f>SUBTOTAL(9,Z38:Z41)</f>
        <v>0</v>
      </c>
      <c r="AA37" s="418">
        <f>SUBTOTAL(9,AA38:AA41)</f>
        <v>0</v>
      </c>
      <c r="AB37" s="43"/>
      <c r="AC37" s="418">
        <f>SUBTOTAL(9,AC38:AC41)</f>
        <v>0</v>
      </c>
      <c r="AD37" s="418">
        <f>SUBTOTAL(9,AD38:AD41)</f>
        <v>0</v>
      </c>
      <c r="AE37" s="43"/>
      <c r="AF37" s="141"/>
      <c r="AG37" s="143"/>
      <c r="AH37" s="43"/>
      <c r="AI37" s="143"/>
      <c r="AJ37" s="43"/>
      <c r="AK37" s="418">
        <f>SUBTOTAL(9,AK38:AK41)</f>
        <v>0</v>
      </c>
      <c r="AL37" s="418">
        <f>SUBTOTAL(9,AL38:AL41)</f>
        <v>0</v>
      </c>
      <c r="AM37" s="510" t="str">
        <f>IF(COUNTIF(AM38:AM41,"@@")&gt;0,"@@","OK")</f>
        <v>OK</v>
      </c>
      <c r="AN37" s="43"/>
      <c r="AO37" s="418">
        <f t="shared" ref="AO37" si="110">SUBTOTAL(9,AO38:AO41)</f>
        <v>0</v>
      </c>
      <c r="AP37" s="418">
        <f t="shared" ref="AP37" si="111">SUBTOTAL(9,AP38:AP41)</f>
        <v>0</v>
      </c>
      <c r="AQ37" s="510" t="str">
        <f>IF(COUNTIF(AQ38:AQ41,"@@")&gt;0,"@@","OK")</f>
        <v>OK</v>
      </c>
    </row>
    <row r="38" spans="1:43" s="135" customFormat="1" ht="69.95" customHeight="1">
      <c r="A38" s="126" t="str">
        <f>IF(D38="","",COUNTA($C$7:C38)-COUNTBLANK($C$7:C38)+7)</f>
        <v/>
      </c>
      <c r="B38" s="127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27" t="str">
        <f>IF(D38="","",IF(OR(D38="교육지원과"),"소방재난본부",VLOOKUP(D38,구분표!$A$3:$C$258,3,)))</f>
        <v/>
      </c>
      <c r="D38" s="194"/>
      <c r="E38" s="181"/>
      <c r="F38" s="350" t="str">
        <f>IF($E38="","",IF($E38="2추","직접입력","-"))</f>
        <v/>
      </c>
      <c r="G38" s="350" t="str">
        <f>IF($E38="","",IF($E38="2추","직접입력","-"))</f>
        <v/>
      </c>
      <c r="H38" s="182"/>
      <c r="I38" s="127" t="str">
        <f>IF(H38="","",VLOOKUP($H38,구분표!$O$3:$P$168,2,FALSE))</f>
        <v/>
      </c>
      <c r="J38" s="183"/>
      <c r="K38" s="419" t="str">
        <f>IF($E38="","",IF(OR($E38="2추", $E38="1추", $E38="본예산"), "금액입력", "-"))</f>
        <v/>
      </c>
      <c r="L38" s="419" t="str">
        <f>IF($E38="", "", IF($E38="2추","금액입력", "-"))</f>
        <v/>
      </c>
      <c r="M38" s="421" t="str">
        <f t="shared" ref="M38:M41" si="112">IF($E38="","",SUM(K38:L38))</f>
        <v/>
      </c>
      <c r="N38" s="420"/>
      <c r="O38" s="421">
        <f t="shared" ref="O38:O41" si="113">SUM(M38:N38)</f>
        <v>0</v>
      </c>
      <c r="P38" s="422"/>
      <c r="Q38" s="423">
        <f t="shared" ref="Q38:Q41" si="114">SUM(M38,P38)</f>
        <v>0</v>
      </c>
      <c r="R38" s="133" t="str">
        <f t="shared" ref="R38:R41" si="115">IF(AND((O38=0),(Q38&gt;0)),"O",IF(AND((N38&lt;0),(O38-Q38&lt;0)),"O","X"))</f>
        <v>X</v>
      </c>
      <c r="S38" s="198"/>
      <c r="T38" s="197"/>
      <c r="U38" s="199"/>
      <c r="V38" s="200"/>
      <c r="W38" s="199"/>
      <c r="X38" s="133" t="str">
        <f t="shared" ref="X38:X41" si="116">IF($H38="","",IF(OR($H38="511-01", $H38="511-02", $H38="511-03", $H38="311-02", $H38="311-04", $H38="321-01"),"국비","도비"))</f>
        <v/>
      </c>
      <c r="Y38" s="195"/>
      <c r="Z38" s="454" t="str">
        <f t="shared" ref="Z38:Z41" si="117">IF($X38="", "", IF($X38="국비",$N38, 0))</f>
        <v/>
      </c>
      <c r="AA38" s="454" t="str">
        <f t="shared" ref="AA38:AA41" si="118">IF($X38="", "", IF($X38="도비",$N38, 0))</f>
        <v/>
      </c>
      <c r="AC38" s="454" t="str">
        <f t="shared" ref="AC38:AC41" si="119">IF($X38="", "", IF($X38="국비",$P38, 0))</f>
        <v/>
      </c>
      <c r="AD38" s="454" t="str">
        <f t="shared" ref="AD38:AD41" si="120">IF($X38="", "", IF($X38="도비",$P38, 0))</f>
        <v/>
      </c>
      <c r="AF38" s="336" t="str">
        <f>IF(AI38="","",IF($X38="도비","-",CONCATENATE(AI38,"-",COUNTIF($AI$7:AI38,AI38))))</f>
        <v/>
      </c>
      <c r="AG38" s="336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36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196"/>
      <c r="AK38" s="432" t="str">
        <f>IF($AF38="","",IF($AF38="-",0, SUMIFS('4. 특출'!$AB$6:$AB$2000,'4. 특출'!$AJ$6:$AJ$2000,$AF38)))</f>
        <v/>
      </c>
      <c r="AL38" s="339" t="str">
        <f>IF($AF38="","",IF($AF38="-", 0, COUNTIF('4. 특출'!$AJ$6:$AJ$2000,$AF38)))</f>
        <v/>
      </c>
      <c r="AM38" s="336" t="str">
        <f t="shared" ref="AM38:AM41" si="122">IF($AF38="", "", IF($Z38=$AK38,"OK","@@"))</f>
        <v/>
      </c>
      <c r="AN38" s="196"/>
      <c r="AO38" s="432" t="str">
        <f>IF($AF38="","",IF($AF38="-",0, SUMIFS('4. 특출'!$AF$6:$AF$2000,'4. 특출'!$AJ$6:$AJ$2000,$AF38)))</f>
        <v/>
      </c>
      <c r="AP38" s="339" t="str">
        <f>IF($AF38="","",IF($AF38="-", 0, COUNTIF('4. 특출'!$AJ$6:$AJ$2000,$AF38)))</f>
        <v/>
      </c>
      <c r="AQ38" s="336" t="str">
        <f t="shared" ref="AQ38:AQ41" si="123">IF($AF38="", "", IF($AC38=$AO38,"OK","@@"))</f>
        <v/>
      </c>
    </row>
    <row r="39" spans="1:43" s="135" customFormat="1" ht="69.95" customHeight="1">
      <c r="A39" s="126" t="str">
        <f>IF(D39="","",COUNTA($C$7:C39)-COUNTBLANK($C$7:C39)+7)</f>
        <v/>
      </c>
      <c r="B39" s="127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27" t="str">
        <f>IF(D39="","",IF(OR(D39="교육지원과"),"소방재난본부",VLOOKUP(D39,구분표!$A$3:$C$258,3,)))</f>
        <v/>
      </c>
      <c r="D39" s="194"/>
      <c r="E39" s="181"/>
      <c r="F39" s="350" t="str">
        <f t="shared" ref="F39:G41" si="124">IF($E39="","",IF($E39="2추","직접입력","-"))</f>
        <v/>
      </c>
      <c r="G39" s="350" t="str">
        <f t="shared" si="124"/>
        <v/>
      </c>
      <c r="H39" s="182"/>
      <c r="I39" s="127" t="str">
        <f>IF(H39="","",VLOOKUP($H39,구분표!$O$3:$P$168,2,FALSE))</f>
        <v/>
      </c>
      <c r="J39" s="183"/>
      <c r="K39" s="419" t="str">
        <f t="shared" ref="K39:K41" si="125">IF($E39="","",IF(OR($E39="2추", $E39="1추", $E39="본예산"), "금액입력", "-"))</f>
        <v/>
      </c>
      <c r="L39" s="419" t="str">
        <f t="shared" ref="L39:L41" si="126">IF($E39="", "", IF($E39="2추","금액입력", "-"))</f>
        <v/>
      </c>
      <c r="M39" s="421" t="str">
        <f t="shared" si="112"/>
        <v/>
      </c>
      <c r="N39" s="420"/>
      <c r="O39" s="421">
        <f t="shared" si="113"/>
        <v>0</v>
      </c>
      <c r="P39" s="422"/>
      <c r="Q39" s="423">
        <f t="shared" si="114"/>
        <v>0</v>
      </c>
      <c r="R39" s="133" t="str">
        <f t="shared" si="115"/>
        <v>X</v>
      </c>
      <c r="S39" s="198"/>
      <c r="T39" s="197"/>
      <c r="U39" s="199"/>
      <c r="V39" s="200"/>
      <c r="W39" s="199"/>
      <c r="X39" s="133" t="str">
        <f t="shared" si="116"/>
        <v/>
      </c>
      <c r="Y39" s="195"/>
      <c r="Z39" s="454" t="str">
        <f t="shared" si="117"/>
        <v/>
      </c>
      <c r="AA39" s="454" t="str">
        <f t="shared" si="118"/>
        <v/>
      </c>
      <c r="AC39" s="454" t="str">
        <f t="shared" si="119"/>
        <v/>
      </c>
      <c r="AD39" s="454" t="str">
        <f t="shared" si="120"/>
        <v/>
      </c>
      <c r="AF39" s="336" t="str">
        <f>IF(AI39="","",IF($X39="도비","-",CONCATENATE(AI39,"-",COUNTIF($AI$7:AI39,AI39))))</f>
        <v/>
      </c>
      <c r="AG39" s="336" t="str">
        <f t="shared" si="121"/>
        <v/>
      </c>
      <c r="AI39" s="336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196"/>
      <c r="AK39" s="432" t="str">
        <f>IF($AF39="","",IF($AF39="-",0, SUMIFS('4. 특출'!$AB$6:$AB$2000,'4. 특출'!$AJ$6:$AJ$2000,$AF39)))</f>
        <v/>
      </c>
      <c r="AL39" s="339" t="str">
        <f>IF($AF39="","",IF($AF39="-", 0, COUNTIF('4. 특출'!$AJ$6:$AJ$2000,$AF39)))</f>
        <v/>
      </c>
      <c r="AM39" s="336" t="str">
        <f t="shared" si="122"/>
        <v/>
      </c>
      <c r="AN39" s="196"/>
      <c r="AO39" s="432" t="str">
        <f>IF($AF39="","",IF($AF39="-",0, SUMIFS('4. 특출'!$AF$6:$AF$2000,'4. 특출'!$AJ$6:$AJ$2000,$AF39)))</f>
        <v/>
      </c>
      <c r="AP39" s="339" t="str">
        <f>IF($AF39="","",IF($AF39="-", 0, COUNTIF('4. 특출'!$AJ$6:$AJ$2000,$AF39)))</f>
        <v/>
      </c>
      <c r="AQ39" s="336" t="str">
        <f t="shared" si="123"/>
        <v/>
      </c>
    </row>
    <row r="40" spans="1:43" s="135" customFormat="1" ht="69.95" customHeight="1">
      <c r="A40" s="126" t="str">
        <f>IF(D40="","",COUNTA($C$7:C40)-COUNTBLANK($C$7:C40)+7)</f>
        <v/>
      </c>
      <c r="B40" s="127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27" t="str">
        <f>IF(D40="","",IF(OR(D40="교육지원과"),"소방재난본부",VLOOKUP(D40,구분표!$A$3:$C$258,3,)))</f>
        <v/>
      </c>
      <c r="D40" s="194"/>
      <c r="E40" s="181"/>
      <c r="F40" s="350" t="str">
        <f t="shared" si="124"/>
        <v/>
      </c>
      <c r="G40" s="350" t="str">
        <f t="shared" si="124"/>
        <v/>
      </c>
      <c r="H40" s="182"/>
      <c r="I40" s="127" t="str">
        <f>IF(H40="","",VLOOKUP($H40,구분표!$O$3:$P$168,2,FALSE))</f>
        <v/>
      </c>
      <c r="J40" s="183"/>
      <c r="K40" s="419" t="str">
        <f t="shared" si="125"/>
        <v/>
      </c>
      <c r="L40" s="419" t="str">
        <f t="shared" si="126"/>
        <v/>
      </c>
      <c r="M40" s="421" t="str">
        <f t="shared" si="112"/>
        <v/>
      </c>
      <c r="N40" s="420"/>
      <c r="O40" s="421">
        <f t="shared" si="113"/>
        <v>0</v>
      </c>
      <c r="P40" s="422"/>
      <c r="Q40" s="423">
        <f t="shared" si="114"/>
        <v>0</v>
      </c>
      <c r="R40" s="133" t="str">
        <f t="shared" si="115"/>
        <v>X</v>
      </c>
      <c r="S40" s="198"/>
      <c r="T40" s="197"/>
      <c r="U40" s="199"/>
      <c r="V40" s="200"/>
      <c r="W40" s="199"/>
      <c r="X40" s="133" t="str">
        <f t="shared" si="116"/>
        <v/>
      </c>
      <c r="Y40" s="195"/>
      <c r="Z40" s="454" t="str">
        <f t="shared" si="117"/>
        <v/>
      </c>
      <c r="AA40" s="454" t="str">
        <f t="shared" si="118"/>
        <v/>
      </c>
      <c r="AC40" s="454" t="str">
        <f t="shared" si="119"/>
        <v/>
      </c>
      <c r="AD40" s="454" t="str">
        <f t="shared" si="120"/>
        <v/>
      </c>
      <c r="AF40" s="336" t="str">
        <f>IF(AI40="","",IF($X40="도비","-",CONCATENATE(AI40,"-",COUNTIF($AI$7:AI40,AI40))))</f>
        <v/>
      </c>
      <c r="AG40" s="336" t="str">
        <f t="shared" si="121"/>
        <v/>
      </c>
      <c r="AI40" s="336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196"/>
      <c r="AK40" s="432" t="str">
        <f>IF($AF40="","",IF($AF40="-",0, SUMIFS('4. 특출'!$AB$6:$AB$2000,'4. 특출'!$AJ$6:$AJ$2000,$AF40)))</f>
        <v/>
      </c>
      <c r="AL40" s="339" t="str">
        <f>IF($AF40="","",IF($AF40="-", 0, COUNTIF('4. 특출'!$AJ$6:$AJ$2000,$AF40)))</f>
        <v/>
      </c>
      <c r="AM40" s="336" t="str">
        <f t="shared" si="122"/>
        <v/>
      </c>
      <c r="AN40" s="196"/>
      <c r="AO40" s="432" t="str">
        <f>IF($AF40="","",IF($AF40="-",0, SUMIFS('4. 특출'!$AF$6:$AF$2000,'4. 특출'!$AJ$6:$AJ$2000,$AF40)))</f>
        <v/>
      </c>
      <c r="AP40" s="339" t="str">
        <f>IF($AF40="","",IF($AF40="-", 0, COUNTIF('4. 특출'!$AJ$6:$AJ$2000,$AF40)))</f>
        <v/>
      </c>
      <c r="AQ40" s="336" t="str">
        <f t="shared" si="123"/>
        <v/>
      </c>
    </row>
    <row r="41" spans="1:43" s="135" customFormat="1" ht="69.95" customHeight="1">
      <c r="A41" s="126" t="str">
        <f>IF(D41="","",COUNTA($C$7:C41)-COUNTBLANK($C$7:C41)+7)</f>
        <v/>
      </c>
      <c r="B41" s="127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27" t="str">
        <f>IF(D41="","",IF(OR(D41="교육지원과"),"소방재난본부",VLOOKUP(D41,구분표!$A$3:$C$258,3,)))</f>
        <v/>
      </c>
      <c r="D41" s="194"/>
      <c r="E41" s="181"/>
      <c r="F41" s="350" t="str">
        <f t="shared" si="124"/>
        <v/>
      </c>
      <c r="G41" s="350" t="str">
        <f t="shared" si="124"/>
        <v/>
      </c>
      <c r="H41" s="182"/>
      <c r="I41" s="127" t="str">
        <f>IF(H41="","",VLOOKUP($H41,구분표!$O$3:$P$168,2,FALSE))</f>
        <v/>
      </c>
      <c r="J41" s="183"/>
      <c r="K41" s="419" t="str">
        <f t="shared" si="125"/>
        <v/>
      </c>
      <c r="L41" s="419" t="str">
        <f t="shared" si="126"/>
        <v/>
      </c>
      <c r="M41" s="421" t="str">
        <f t="shared" si="112"/>
        <v/>
      </c>
      <c r="N41" s="420"/>
      <c r="O41" s="421">
        <f t="shared" si="113"/>
        <v>0</v>
      </c>
      <c r="P41" s="422"/>
      <c r="Q41" s="423">
        <f t="shared" si="114"/>
        <v>0</v>
      </c>
      <c r="R41" s="133" t="str">
        <f t="shared" si="115"/>
        <v>X</v>
      </c>
      <c r="S41" s="198"/>
      <c r="T41" s="197"/>
      <c r="U41" s="199"/>
      <c r="V41" s="200"/>
      <c r="W41" s="199"/>
      <c r="X41" s="133" t="str">
        <f t="shared" si="116"/>
        <v/>
      </c>
      <c r="Y41" s="195"/>
      <c r="Z41" s="454" t="str">
        <f t="shared" si="117"/>
        <v/>
      </c>
      <c r="AA41" s="454" t="str">
        <f t="shared" si="118"/>
        <v/>
      </c>
      <c r="AC41" s="454" t="str">
        <f t="shared" si="119"/>
        <v/>
      </c>
      <c r="AD41" s="454" t="str">
        <f t="shared" si="120"/>
        <v/>
      </c>
      <c r="AF41" s="336" t="str">
        <f>IF(AI41="","",IF($X41="도비","-",CONCATENATE(AI41,"-",COUNTIF($AI$7:AI41,AI41))))</f>
        <v/>
      </c>
      <c r="AG41" s="336" t="str">
        <f t="shared" si="121"/>
        <v/>
      </c>
      <c r="AI41" s="336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196"/>
      <c r="AK41" s="432" t="str">
        <f>IF($AF41="","",IF($AF41="-",0, SUMIFS('4. 특출'!$AB$6:$AB$2000,'4. 특출'!$AJ$6:$AJ$2000,$AF41)))</f>
        <v/>
      </c>
      <c r="AL41" s="339" t="str">
        <f>IF($AF41="","",IF($AF41="-", 0, COUNTIF('4. 특출'!$AJ$6:$AJ$2000,$AF41)))</f>
        <v/>
      </c>
      <c r="AM41" s="336" t="str">
        <f t="shared" si="122"/>
        <v/>
      </c>
      <c r="AN41" s="196"/>
      <c r="AO41" s="432" t="str">
        <f>IF($AF41="","",IF($AF41="-",0, SUMIFS('4. 특출'!$AF$6:$AF$2000,'4. 특출'!$AJ$6:$AJ$2000,$AF41)))</f>
        <v/>
      </c>
      <c r="AP41" s="339" t="str">
        <f>IF($AF41="","",IF($AF41="-", 0, COUNTIF('4. 특출'!$AJ$6:$AJ$2000,$AF41)))</f>
        <v/>
      </c>
      <c r="AQ41" s="336" t="str">
        <f t="shared" si="123"/>
        <v/>
      </c>
    </row>
    <row r="42" spans="1:43" ht="69.95" customHeight="1">
      <c r="A42" s="141"/>
      <c r="B42" s="886" t="s">
        <v>771</v>
      </c>
      <c r="C42" s="886"/>
      <c r="D42" s="886"/>
      <c r="E42" s="886"/>
      <c r="F42" s="886"/>
      <c r="G42" s="886"/>
      <c r="H42" s="142"/>
      <c r="I42" s="142"/>
      <c r="J42" s="313" t="str">
        <f>SUBTOTAL(3,J43:J46)&amp;"건"</f>
        <v>0건</v>
      </c>
      <c r="K42" s="418">
        <f t="shared" ref="K42:Q42" si="127">SUBTOTAL(9,K43:K46)</f>
        <v>0</v>
      </c>
      <c r="L42" s="418">
        <f t="shared" si="127"/>
        <v>0</v>
      </c>
      <c r="M42" s="418">
        <f t="shared" si="127"/>
        <v>0</v>
      </c>
      <c r="N42" s="418">
        <f t="shared" si="127"/>
        <v>0</v>
      </c>
      <c r="O42" s="418">
        <f t="shared" si="127"/>
        <v>0</v>
      </c>
      <c r="P42" s="418">
        <f t="shared" si="127"/>
        <v>0</v>
      </c>
      <c r="Q42" s="418">
        <f t="shared" si="127"/>
        <v>0</v>
      </c>
      <c r="R42" s="141"/>
      <c r="S42" s="141"/>
      <c r="T42" s="141"/>
      <c r="U42" s="141"/>
      <c r="V42" s="141"/>
      <c r="W42" s="141"/>
      <c r="X42" s="143"/>
      <c r="Y42" s="42"/>
      <c r="Z42" s="418">
        <f>SUBTOTAL(9,Z43:Z46)</f>
        <v>0</v>
      </c>
      <c r="AA42" s="418">
        <f>SUBTOTAL(9,AA43:AA46)</f>
        <v>0</v>
      </c>
      <c r="AB42" s="43"/>
      <c r="AC42" s="418">
        <f>SUBTOTAL(9,AC43:AC46)</f>
        <v>0</v>
      </c>
      <c r="AD42" s="418">
        <f>SUBTOTAL(9,AD43:AD46)</f>
        <v>0</v>
      </c>
      <c r="AE42" s="43"/>
      <c r="AF42" s="141"/>
      <c r="AG42" s="143"/>
      <c r="AH42" s="43"/>
      <c r="AI42" s="143"/>
      <c r="AJ42" s="43"/>
      <c r="AK42" s="418">
        <f>SUBTOTAL(9,AK43:AK46)</f>
        <v>0</v>
      </c>
      <c r="AL42" s="418">
        <f>SUBTOTAL(9,AL43:AL46)</f>
        <v>0</v>
      </c>
      <c r="AM42" s="510" t="str">
        <f>IF(COUNTIF(AM43:AM46,"@@")&gt;0,"@@","OK")</f>
        <v>OK</v>
      </c>
      <c r="AN42" s="43"/>
      <c r="AO42" s="418">
        <f t="shared" ref="AO42" si="128">SUBTOTAL(9,AO43:AO46)</f>
        <v>0</v>
      </c>
      <c r="AP42" s="418">
        <f t="shared" ref="AP42" si="129">SUBTOTAL(9,AP43:AP46)</f>
        <v>0</v>
      </c>
      <c r="AQ42" s="510" t="str">
        <f>IF(COUNTIF(AQ43:AQ46,"@@")&gt;0,"@@","OK")</f>
        <v>OK</v>
      </c>
    </row>
    <row r="43" spans="1:43" s="135" customFormat="1" ht="69.95" customHeight="1">
      <c r="A43" s="126" t="str">
        <f>IF(D43="","",COUNTA($C$7:C43)-COUNTBLANK($C$7:C43)+8)</f>
        <v/>
      </c>
      <c r="B43" s="127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27" t="str">
        <f>IF(D43="","",IF(OR(D43="교육지원과"),"소방재난본부",VLOOKUP(D43,구분표!$A$3:$C$258,3,)))</f>
        <v/>
      </c>
      <c r="D43" s="194"/>
      <c r="E43" s="181"/>
      <c r="F43" s="350" t="str">
        <f>IF($E43="","",IF($E43="2추","직접입력","-"))</f>
        <v/>
      </c>
      <c r="G43" s="350" t="str">
        <f>IF($E43="","",IF($E43="2추","직접입력","-"))</f>
        <v/>
      </c>
      <c r="H43" s="182"/>
      <c r="I43" s="127" t="str">
        <f>IF(H43="","",VLOOKUP($H43,구분표!$O$3:$P$168,2,FALSE))</f>
        <v/>
      </c>
      <c r="J43" s="183"/>
      <c r="K43" s="419" t="str">
        <f>IF($E43="","",IF(OR($E43="2추", $E43="1추", $E43="본예산"), "금액입력", "-"))</f>
        <v/>
      </c>
      <c r="L43" s="419" t="str">
        <f>IF($E43="", "", IF($E43="2추","금액입력", "-"))</f>
        <v/>
      </c>
      <c r="M43" s="421" t="str">
        <f t="shared" ref="M43:M46" si="130">IF($E43="","",SUM(K43:L43))</f>
        <v/>
      </c>
      <c r="N43" s="420"/>
      <c r="O43" s="421">
        <f t="shared" ref="O43:O46" si="131">SUM(M43:N43)</f>
        <v>0</v>
      </c>
      <c r="P43" s="422"/>
      <c r="Q43" s="423">
        <f t="shared" ref="Q43:Q46" si="132">SUM(M43,P43)</f>
        <v>0</v>
      </c>
      <c r="R43" s="133" t="str">
        <f t="shared" ref="R43:R46" si="133">IF(AND((O43=0),(Q43&gt;0)),"O",IF(AND((N43&lt;0),(O43-Q43&lt;0)),"O","X"))</f>
        <v>X</v>
      </c>
      <c r="S43" s="198"/>
      <c r="T43" s="197"/>
      <c r="U43" s="199"/>
      <c r="V43" s="200"/>
      <c r="W43" s="199"/>
      <c r="X43" s="133" t="str">
        <f t="shared" ref="X43:X46" si="134">IF($H43="","",IF(OR($H43="511-01", $H43="511-02", $H43="511-03", $H43="311-02", $H43="311-04", $H43="321-01"),"국비","도비"))</f>
        <v/>
      </c>
      <c r="Y43" s="195"/>
      <c r="Z43" s="454" t="str">
        <f t="shared" ref="Z43:Z46" si="135">IF($X43="", "", IF($X43="국비",$N43, 0))</f>
        <v/>
      </c>
      <c r="AA43" s="454" t="str">
        <f t="shared" ref="AA43:AA46" si="136">IF($X43="", "", IF($X43="도비",$N43, 0))</f>
        <v/>
      </c>
      <c r="AC43" s="454" t="str">
        <f t="shared" ref="AC43:AC46" si="137">IF($X43="", "", IF($X43="국비",$P43, 0))</f>
        <v/>
      </c>
      <c r="AD43" s="454" t="str">
        <f t="shared" ref="AD43:AD46" si="138">IF($X43="", "", IF($X43="도비",$P43, 0))</f>
        <v/>
      </c>
      <c r="AF43" s="336" t="str">
        <f>IF(AI43="","",IF($X43="도비","-",CONCATENATE(AI43,"-",COUNTIF($AI$7:AI43,AI43))))</f>
        <v/>
      </c>
      <c r="AG43" s="336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36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196"/>
      <c r="AK43" s="432" t="str">
        <f>IF($AF43="","",IF($AF43="-",0, SUMIFS('4. 특출'!$AB$6:$AB$2000,'4. 특출'!$AJ$6:$AJ$2000,$AF43)))</f>
        <v/>
      </c>
      <c r="AL43" s="339" t="str">
        <f>IF($AF43="","",IF($AF43="-", 0, COUNTIF('4. 특출'!$AJ$6:$AJ$2000,$AF43)))</f>
        <v/>
      </c>
      <c r="AM43" s="336" t="str">
        <f t="shared" ref="AM43:AM46" si="140">IF($AF43="", "", IF($Z43=$AK43,"OK","@@"))</f>
        <v/>
      </c>
      <c r="AN43" s="196"/>
      <c r="AO43" s="432" t="str">
        <f>IF($AF43="","",IF($AF43="-",0, SUMIFS('4. 특출'!$AF$6:$AF$2000,'4. 특출'!$AJ$6:$AJ$2000,$AF43)))</f>
        <v/>
      </c>
      <c r="AP43" s="339" t="str">
        <f>IF($AF43="","",IF($AF43="-", 0, COUNTIF('4. 특출'!$AJ$6:$AJ$2000,$AF43)))</f>
        <v/>
      </c>
      <c r="AQ43" s="336" t="str">
        <f t="shared" ref="AQ43:AQ46" si="141">IF($AF43="", "", IF($AC43=$AO43,"OK","@@"))</f>
        <v/>
      </c>
    </row>
    <row r="44" spans="1:43" s="135" customFormat="1" ht="69.95" customHeight="1">
      <c r="A44" s="126" t="str">
        <f>IF(D44="","",COUNTA($C$7:C44)-COUNTBLANK($C$7:C44)+8)</f>
        <v/>
      </c>
      <c r="B44" s="127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27" t="str">
        <f>IF(D44="","",IF(OR(D44="교육지원과"),"소방재난본부",VLOOKUP(D44,구분표!$A$3:$C$258,3,)))</f>
        <v/>
      </c>
      <c r="D44" s="194"/>
      <c r="E44" s="181"/>
      <c r="F44" s="350" t="str">
        <f t="shared" ref="F44:G46" si="142">IF($E44="","",IF($E44="2추","직접입력","-"))</f>
        <v/>
      </c>
      <c r="G44" s="350" t="str">
        <f t="shared" si="142"/>
        <v/>
      </c>
      <c r="H44" s="182"/>
      <c r="I44" s="127" t="str">
        <f>IF(H44="","",VLOOKUP($H44,구분표!$O$3:$P$168,2,FALSE))</f>
        <v/>
      </c>
      <c r="J44" s="183"/>
      <c r="K44" s="419" t="str">
        <f t="shared" ref="K44:K46" si="143">IF($E44="","",IF(OR($E44="2추", $E44="1추", $E44="본예산"), "금액입력", "-"))</f>
        <v/>
      </c>
      <c r="L44" s="419" t="str">
        <f t="shared" ref="L44:L46" si="144">IF($E44="", "", IF($E44="2추","금액입력", "-"))</f>
        <v/>
      </c>
      <c r="M44" s="421" t="str">
        <f t="shared" si="130"/>
        <v/>
      </c>
      <c r="N44" s="420"/>
      <c r="O44" s="421">
        <f t="shared" si="131"/>
        <v>0</v>
      </c>
      <c r="P44" s="422"/>
      <c r="Q44" s="423">
        <f t="shared" si="132"/>
        <v>0</v>
      </c>
      <c r="R44" s="133" t="str">
        <f t="shared" si="133"/>
        <v>X</v>
      </c>
      <c r="S44" s="198"/>
      <c r="T44" s="197"/>
      <c r="U44" s="199"/>
      <c r="V44" s="200"/>
      <c r="W44" s="199"/>
      <c r="X44" s="133" t="str">
        <f t="shared" si="134"/>
        <v/>
      </c>
      <c r="Y44" s="195"/>
      <c r="Z44" s="454" t="str">
        <f t="shared" si="135"/>
        <v/>
      </c>
      <c r="AA44" s="454" t="str">
        <f t="shared" si="136"/>
        <v/>
      </c>
      <c r="AC44" s="454" t="str">
        <f t="shared" si="137"/>
        <v/>
      </c>
      <c r="AD44" s="454" t="str">
        <f t="shared" si="138"/>
        <v/>
      </c>
      <c r="AF44" s="336" t="str">
        <f>IF(AI44="","",IF($X44="도비","-",CONCATENATE(AI44,"-",COUNTIF($AI$7:AI44,AI44))))</f>
        <v/>
      </c>
      <c r="AG44" s="336" t="str">
        <f t="shared" si="139"/>
        <v/>
      </c>
      <c r="AI44" s="336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196"/>
      <c r="AK44" s="432" t="str">
        <f>IF($AF44="","",IF($AF44="-",0, SUMIFS('4. 특출'!$AB$6:$AB$2000,'4. 특출'!$AJ$6:$AJ$2000,$AF44)))</f>
        <v/>
      </c>
      <c r="AL44" s="339" t="str">
        <f>IF($AF44="","",IF($AF44="-", 0, COUNTIF('4. 특출'!$AJ$6:$AJ$2000,$AF44)))</f>
        <v/>
      </c>
      <c r="AM44" s="336" t="str">
        <f t="shared" si="140"/>
        <v/>
      </c>
      <c r="AN44" s="196"/>
      <c r="AO44" s="432" t="str">
        <f>IF($AF44="","",IF($AF44="-",0, SUMIFS('4. 특출'!$AF$6:$AF$2000,'4. 특출'!$AJ$6:$AJ$2000,$AF44)))</f>
        <v/>
      </c>
      <c r="AP44" s="339" t="str">
        <f>IF($AF44="","",IF($AF44="-", 0, COUNTIF('4. 특출'!$AJ$6:$AJ$2000,$AF44)))</f>
        <v/>
      </c>
      <c r="AQ44" s="336" t="str">
        <f t="shared" si="141"/>
        <v/>
      </c>
    </row>
    <row r="45" spans="1:43" s="135" customFormat="1" ht="69.95" customHeight="1">
      <c r="A45" s="126" t="str">
        <f>IF(D45="","",COUNTA($C$7:C45)-COUNTBLANK($C$7:C45)+8)</f>
        <v/>
      </c>
      <c r="B45" s="127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27" t="str">
        <f>IF(D45="","",IF(OR(D45="교육지원과"),"소방재난본부",VLOOKUP(D45,구분표!$A$3:$C$258,3,)))</f>
        <v/>
      </c>
      <c r="D45" s="194"/>
      <c r="E45" s="181"/>
      <c r="F45" s="350" t="str">
        <f t="shared" si="142"/>
        <v/>
      </c>
      <c r="G45" s="350" t="str">
        <f t="shared" si="142"/>
        <v/>
      </c>
      <c r="H45" s="182"/>
      <c r="I45" s="127" t="str">
        <f>IF(H45="","",VLOOKUP($H45,구분표!$O$3:$P$168,2,FALSE))</f>
        <v/>
      </c>
      <c r="J45" s="183"/>
      <c r="K45" s="419" t="str">
        <f t="shared" si="143"/>
        <v/>
      </c>
      <c r="L45" s="419" t="str">
        <f t="shared" si="144"/>
        <v/>
      </c>
      <c r="M45" s="421" t="str">
        <f t="shared" si="130"/>
        <v/>
      </c>
      <c r="N45" s="420"/>
      <c r="O45" s="421">
        <f t="shared" si="131"/>
        <v>0</v>
      </c>
      <c r="P45" s="422"/>
      <c r="Q45" s="423">
        <f t="shared" si="132"/>
        <v>0</v>
      </c>
      <c r="R45" s="133" t="str">
        <f t="shared" si="133"/>
        <v>X</v>
      </c>
      <c r="S45" s="198"/>
      <c r="T45" s="197"/>
      <c r="U45" s="199"/>
      <c r="V45" s="200"/>
      <c r="W45" s="199"/>
      <c r="X45" s="133" t="str">
        <f t="shared" si="134"/>
        <v/>
      </c>
      <c r="Y45" s="195"/>
      <c r="Z45" s="454" t="str">
        <f t="shared" si="135"/>
        <v/>
      </c>
      <c r="AA45" s="454" t="str">
        <f t="shared" si="136"/>
        <v/>
      </c>
      <c r="AC45" s="454" t="str">
        <f t="shared" si="137"/>
        <v/>
      </c>
      <c r="AD45" s="454" t="str">
        <f t="shared" si="138"/>
        <v/>
      </c>
      <c r="AF45" s="336" t="str">
        <f>IF(AI45="","",IF($X45="도비","-",CONCATENATE(AI45,"-",COUNTIF($AI$7:AI45,AI45))))</f>
        <v/>
      </c>
      <c r="AG45" s="336" t="str">
        <f t="shared" si="139"/>
        <v/>
      </c>
      <c r="AI45" s="336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196"/>
      <c r="AK45" s="432" t="str">
        <f>IF($AF45="","",IF($AF45="-",0, SUMIFS('4. 특출'!$AB$6:$AB$2000,'4. 특출'!$AJ$6:$AJ$2000,$AF45)))</f>
        <v/>
      </c>
      <c r="AL45" s="339" t="str">
        <f>IF($AF45="","",IF($AF45="-", 0, COUNTIF('4. 특출'!$AJ$6:$AJ$2000,$AF45)))</f>
        <v/>
      </c>
      <c r="AM45" s="336" t="str">
        <f t="shared" si="140"/>
        <v/>
      </c>
      <c r="AN45" s="196"/>
      <c r="AO45" s="432" t="str">
        <f>IF($AF45="","",IF($AF45="-",0, SUMIFS('4. 특출'!$AF$6:$AF$2000,'4. 특출'!$AJ$6:$AJ$2000,$AF45)))</f>
        <v/>
      </c>
      <c r="AP45" s="339" t="str">
        <f>IF($AF45="","",IF($AF45="-", 0, COUNTIF('4. 특출'!$AJ$6:$AJ$2000,$AF45)))</f>
        <v/>
      </c>
      <c r="AQ45" s="336" t="str">
        <f t="shared" si="141"/>
        <v/>
      </c>
    </row>
    <row r="46" spans="1:43" s="135" customFormat="1" ht="69.95" customHeight="1">
      <c r="A46" s="126" t="str">
        <f>IF(D46="","",COUNTA($C$7:C46)-COUNTBLANK($C$7:C46)+8)</f>
        <v/>
      </c>
      <c r="B46" s="127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27" t="str">
        <f>IF(D46="","",IF(OR(D46="교육지원과"),"소방재난본부",VLOOKUP(D46,구분표!$A$3:$C$258,3,)))</f>
        <v/>
      </c>
      <c r="D46" s="194"/>
      <c r="E46" s="181"/>
      <c r="F46" s="350" t="str">
        <f t="shared" si="142"/>
        <v/>
      </c>
      <c r="G46" s="350" t="str">
        <f t="shared" si="142"/>
        <v/>
      </c>
      <c r="H46" s="182"/>
      <c r="I46" s="127" t="str">
        <f>IF(H46="","",VLOOKUP($H46,구분표!$O$3:$P$168,2,FALSE))</f>
        <v/>
      </c>
      <c r="J46" s="183"/>
      <c r="K46" s="419" t="str">
        <f t="shared" si="143"/>
        <v/>
      </c>
      <c r="L46" s="419" t="str">
        <f t="shared" si="144"/>
        <v/>
      </c>
      <c r="M46" s="421" t="str">
        <f t="shared" si="130"/>
        <v/>
      </c>
      <c r="N46" s="420"/>
      <c r="O46" s="421">
        <f t="shared" si="131"/>
        <v>0</v>
      </c>
      <c r="P46" s="422"/>
      <c r="Q46" s="423">
        <f t="shared" si="132"/>
        <v>0</v>
      </c>
      <c r="R46" s="133" t="str">
        <f t="shared" si="133"/>
        <v>X</v>
      </c>
      <c r="S46" s="198"/>
      <c r="T46" s="197"/>
      <c r="U46" s="199"/>
      <c r="V46" s="200"/>
      <c r="W46" s="199"/>
      <c r="X46" s="133" t="str">
        <f t="shared" si="134"/>
        <v/>
      </c>
      <c r="Y46" s="195"/>
      <c r="Z46" s="454" t="str">
        <f t="shared" si="135"/>
        <v/>
      </c>
      <c r="AA46" s="454" t="str">
        <f t="shared" si="136"/>
        <v/>
      </c>
      <c r="AC46" s="454" t="str">
        <f t="shared" si="137"/>
        <v/>
      </c>
      <c r="AD46" s="454" t="str">
        <f t="shared" si="138"/>
        <v/>
      </c>
      <c r="AF46" s="336" t="str">
        <f>IF(AI46="","",IF($X46="도비","-",CONCATENATE(AI46,"-",COUNTIF($AI$7:AI46,AI46))))</f>
        <v/>
      </c>
      <c r="AG46" s="336" t="str">
        <f t="shared" si="139"/>
        <v/>
      </c>
      <c r="AI46" s="336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196"/>
      <c r="AK46" s="432" t="str">
        <f>IF($AF46="","",IF($AF46="-",0, SUMIFS('4. 특출'!$AB$6:$AB$2000,'4. 특출'!$AJ$6:$AJ$2000,$AF46)))</f>
        <v/>
      </c>
      <c r="AL46" s="339" t="str">
        <f>IF($AF46="","",IF($AF46="-", 0, COUNTIF('4. 특출'!$AJ$6:$AJ$2000,$AF46)))</f>
        <v/>
      </c>
      <c r="AM46" s="336" t="str">
        <f t="shared" si="140"/>
        <v/>
      </c>
      <c r="AN46" s="196"/>
      <c r="AO46" s="432" t="str">
        <f>IF($AF46="","",IF($AF46="-",0, SUMIFS('4. 특출'!$AF$6:$AF$2000,'4. 특출'!$AJ$6:$AJ$2000,$AF46)))</f>
        <v/>
      </c>
      <c r="AP46" s="339" t="str">
        <f>IF($AF46="","",IF($AF46="-", 0, COUNTIF('4. 특출'!$AJ$6:$AJ$2000,$AF46)))</f>
        <v/>
      </c>
      <c r="AQ46" s="336" t="str">
        <f t="shared" si="141"/>
        <v/>
      </c>
    </row>
    <row r="47" spans="1:43" ht="69.95" customHeight="1">
      <c r="A47" s="141"/>
      <c r="B47" s="886" t="s">
        <v>772</v>
      </c>
      <c r="C47" s="886"/>
      <c r="D47" s="886"/>
      <c r="E47" s="886"/>
      <c r="F47" s="886"/>
      <c r="G47" s="886"/>
      <c r="H47" s="142"/>
      <c r="I47" s="142"/>
      <c r="J47" s="313" t="str">
        <f>SUBTOTAL(3,J48:J51)&amp;"건"</f>
        <v>0건</v>
      </c>
      <c r="K47" s="418">
        <f t="shared" ref="K47:Q47" si="145">SUBTOTAL(9,K48:K51)</f>
        <v>0</v>
      </c>
      <c r="L47" s="418">
        <f t="shared" si="145"/>
        <v>0</v>
      </c>
      <c r="M47" s="418">
        <f t="shared" si="145"/>
        <v>0</v>
      </c>
      <c r="N47" s="418">
        <f t="shared" si="145"/>
        <v>0</v>
      </c>
      <c r="O47" s="418">
        <f t="shared" si="145"/>
        <v>0</v>
      </c>
      <c r="P47" s="418">
        <f t="shared" si="145"/>
        <v>0</v>
      </c>
      <c r="Q47" s="418">
        <f t="shared" si="145"/>
        <v>0</v>
      </c>
      <c r="R47" s="141"/>
      <c r="S47" s="141"/>
      <c r="T47" s="141"/>
      <c r="U47" s="141"/>
      <c r="V47" s="141"/>
      <c r="W47" s="141"/>
      <c r="X47" s="143"/>
      <c r="Y47" s="42"/>
      <c r="Z47" s="418">
        <f>SUBTOTAL(9,Z48:Z51)</f>
        <v>0</v>
      </c>
      <c r="AA47" s="418">
        <f>SUBTOTAL(9,AA48:AA51)</f>
        <v>0</v>
      </c>
      <c r="AB47" s="43"/>
      <c r="AC47" s="418">
        <f>SUBTOTAL(9,AC48:AC51)</f>
        <v>0</v>
      </c>
      <c r="AD47" s="418">
        <f>SUBTOTAL(9,AD48:AD51)</f>
        <v>0</v>
      </c>
      <c r="AE47" s="43"/>
      <c r="AF47" s="141"/>
      <c r="AG47" s="143"/>
      <c r="AH47" s="43"/>
      <c r="AI47" s="143"/>
      <c r="AJ47" s="43"/>
      <c r="AK47" s="418">
        <f>SUBTOTAL(9,AK48:AK51)</f>
        <v>0</v>
      </c>
      <c r="AL47" s="418">
        <f>SUBTOTAL(9,AL48:AL51)</f>
        <v>0</v>
      </c>
      <c r="AM47" s="510" t="str">
        <f>IF(COUNTIF(AM48:AM51,"@@")&gt;0,"@@","OK")</f>
        <v>OK</v>
      </c>
      <c r="AN47" s="43"/>
      <c r="AO47" s="418">
        <f t="shared" ref="AO47" si="146">SUBTOTAL(9,AO48:AO51)</f>
        <v>0</v>
      </c>
      <c r="AP47" s="418">
        <f t="shared" ref="AP47" si="147">SUBTOTAL(9,AP48:AP51)</f>
        <v>0</v>
      </c>
      <c r="AQ47" s="510" t="str">
        <f>IF(COUNTIF(AQ48:AQ51,"@@")&gt;0,"@@","OK")</f>
        <v>OK</v>
      </c>
    </row>
    <row r="48" spans="1:43" s="135" customFormat="1" ht="69.95" customHeight="1">
      <c r="A48" s="126" t="str">
        <f>IF(D48="","",COUNTA($C$7:C48)-COUNTBLANK($C$7:C48)+9)</f>
        <v/>
      </c>
      <c r="B48" s="127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27" t="str">
        <f>IF(D48="","",IF(OR(D48="교육지원과"),"소방재난본부",VLOOKUP(D48,구분표!$A$3:$C$258,3,)))</f>
        <v/>
      </c>
      <c r="D48" s="194"/>
      <c r="E48" s="181"/>
      <c r="F48" s="350" t="str">
        <f>IF($E48="","",IF($E48="2추","직접입력","-"))</f>
        <v/>
      </c>
      <c r="G48" s="350" t="str">
        <f>IF($E48="","",IF($E48="2추","직접입력","-"))</f>
        <v/>
      </c>
      <c r="H48" s="182"/>
      <c r="I48" s="127" t="str">
        <f>IF(H48="","",VLOOKUP($H48,구분표!$O$3:$P$168,2,FALSE))</f>
        <v/>
      </c>
      <c r="J48" s="183"/>
      <c r="K48" s="419" t="str">
        <f>IF($E48="","",IF(OR($E48="2추", $E48="1추", $E48="본예산"), "금액입력", "-"))</f>
        <v/>
      </c>
      <c r="L48" s="419" t="str">
        <f>IF($E48="", "", IF($E48="2추","금액입력", "-"))</f>
        <v/>
      </c>
      <c r="M48" s="421" t="str">
        <f t="shared" ref="M48:M51" si="148">IF($E48="","",SUM(K48:L48))</f>
        <v/>
      </c>
      <c r="N48" s="420"/>
      <c r="O48" s="421">
        <f t="shared" ref="O48:O51" si="149">SUM(M48:N48)</f>
        <v>0</v>
      </c>
      <c r="P48" s="422"/>
      <c r="Q48" s="423">
        <f t="shared" ref="Q48:Q51" si="150">SUM(M48,P48)</f>
        <v>0</v>
      </c>
      <c r="R48" s="133" t="str">
        <f t="shared" ref="R48:R51" si="151">IF(AND((O48=0),(Q48&gt;0)),"O",IF(AND((N48&lt;0),(O48-Q48&lt;0)),"O","X"))</f>
        <v>X</v>
      </c>
      <c r="S48" s="198"/>
      <c r="T48" s="197"/>
      <c r="U48" s="199"/>
      <c r="V48" s="200"/>
      <c r="W48" s="199"/>
      <c r="X48" s="133" t="str">
        <f t="shared" ref="X48:X51" si="152">IF($H48="","",IF(OR($H48="511-01", $H48="511-02", $H48="511-03", $H48="311-02", $H48="311-04", $H48="321-01"),"국비","도비"))</f>
        <v/>
      </c>
      <c r="Y48" s="195"/>
      <c r="Z48" s="454" t="str">
        <f t="shared" ref="Z48:Z51" si="153">IF($X48="", "", IF($X48="국비",$N48, 0))</f>
        <v/>
      </c>
      <c r="AA48" s="454" t="str">
        <f t="shared" ref="AA48:AA51" si="154">IF($X48="", "", IF($X48="도비",$N48, 0))</f>
        <v/>
      </c>
      <c r="AC48" s="454" t="str">
        <f t="shared" ref="AC48:AC51" si="155">IF($X48="", "", IF($X48="국비",$P48, 0))</f>
        <v/>
      </c>
      <c r="AD48" s="454" t="str">
        <f t="shared" ref="AD48:AD51" si="156">IF($X48="", "", IF($X48="도비",$P48, 0))</f>
        <v/>
      </c>
      <c r="AF48" s="336" t="str">
        <f>IF(AI48="","",IF($X48="도비","-",CONCATENATE(AI48,"-",COUNTIF($AI$7:AI48,AI48))))</f>
        <v/>
      </c>
      <c r="AG48" s="336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36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196"/>
      <c r="AK48" s="432" t="str">
        <f>IF($AF48="","",IF($AF48="-",0, SUMIFS('4. 특출'!$AB$6:$AB$2000,'4. 특출'!$AJ$6:$AJ$2000,$AF48)))</f>
        <v/>
      </c>
      <c r="AL48" s="339" t="str">
        <f>IF($AF48="","",IF($AF48="-", 0, COUNTIF('4. 특출'!$AJ$6:$AJ$2000,$AF48)))</f>
        <v/>
      </c>
      <c r="AM48" s="336" t="str">
        <f t="shared" ref="AM48:AM51" si="158">IF($AF48="", "", IF($Z48=$AK48,"OK","@@"))</f>
        <v/>
      </c>
      <c r="AN48" s="196"/>
      <c r="AO48" s="432" t="str">
        <f>IF($AF48="","",IF($AF48="-",0, SUMIFS('4. 특출'!$AF$6:$AF$2000,'4. 특출'!$AJ$6:$AJ$2000,$AF48)))</f>
        <v/>
      </c>
      <c r="AP48" s="339" t="str">
        <f>IF($AF48="","",IF($AF48="-", 0, COUNTIF('4. 특출'!$AJ$6:$AJ$2000,$AF48)))</f>
        <v/>
      </c>
      <c r="AQ48" s="336" t="str">
        <f t="shared" ref="AQ48:AQ51" si="159">IF($AF48="", "", IF($AC48=$AO48,"OK","@@"))</f>
        <v/>
      </c>
    </row>
    <row r="49" spans="1:43" s="135" customFormat="1" ht="69.95" customHeight="1">
      <c r="A49" s="126" t="str">
        <f>IF(D49="","",COUNTA($C$7:C49)-COUNTBLANK($C$7:C49)+9)</f>
        <v/>
      </c>
      <c r="B49" s="127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27" t="str">
        <f>IF(D49="","",IF(OR(D49="교육지원과"),"소방재난본부",VLOOKUP(D49,구분표!$A$3:$C$258,3,)))</f>
        <v/>
      </c>
      <c r="D49" s="194"/>
      <c r="E49" s="181"/>
      <c r="F49" s="350" t="str">
        <f t="shared" ref="F49:G51" si="160">IF($E49="","",IF($E49="2추","직접입력","-"))</f>
        <v/>
      </c>
      <c r="G49" s="350" t="str">
        <f t="shared" si="160"/>
        <v/>
      </c>
      <c r="H49" s="182"/>
      <c r="I49" s="127" t="str">
        <f>IF(H49="","",VLOOKUP($H49,구분표!$O$3:$P$168,2,FALSE))</f>
        <v/>
      </c>
      <c r="J49" s="183"/>
      <c r="K49" s="419" t="str">
        <f t="shared" ref="K49:K51" si="161">IF($E49="","",IF(OR($E49="2추", $E49="1추", $E49="본예산"), "금액입력", "-"))</f>
        <v/>
      </c>
      <c r="L49" s="419" t="str">
        <f t="shared" ref="L49:L51" si="162">IF($E49="", "", IF($E49="2추","금액입력", "-"))</f>
        <v/>
      </c>
      <c r="M49" s="421" t="str">
        <f t="shared" si="148"/>
        <v/>
      </c>
      <c r="N49" s="420"/>
      <c r="O49" s="421">
        <f t="shared" si="149"/>
        <v>0</v>
      </c>
      <c r="P49" s="422"/>
      <c r="Q49" s="423">
        <f t="shared" si="150"/>
        <v>0</v>
      </c>
      <c r="R49" s="133" t="str">
        <f t="shared" si="151"/>
        <v>X</v>
      </c>
      <c r="S49" s="198"/>
      <c r="T49" s="197"/>
      <c r="U49" s="199"/>
      <c r="V49" s="200"/>
      <c r="W49" s="199"/>
      <c r="X49" s="133" t="str">
        <f t="shared" si="152"/>
        <v/>
      </c>
      <c r="Y49" s="195"/>
      <c r="Z49" s="454" t="str">
        <f t="shared" si="153"/>
        <v/>
      </c>
      <c r="AA49" s="454" t="str">
        <f t="shared" si="154"/>
        <v/>
      </c>
      <c r="AC49" s="454" t="str">
        <f t="shared" si="155"/>
        <v/>
      </c>
      <c r="AD49" s="454" t="str">
        <f t="shared" si="156"/>
        <v/>
      </c>
      <c r="AF49" s="336" t="str">
        <f>IF(AI49="","",IF($X49="도비","-",CONCATENATE(AI49,"-",COUNTIF($AI$7:AI49,AI49))))</f>
        <v/>
      </c>
      <c r="AG49" s="336" t="str">
        <f t="shared" si="157"/>
        <v/>
      </c>
      <c r="AI49" s="336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196"/>
      <c r="AK49" s="432" t="str">
        <f>IF($AF49="","",IF($AF49="-",0, SUMIFS('4. 특출'!$AB$6:$AB$2000,'4. 특출'!$AJ$6:$AJ$2000,$AF49)))</f>
        <v/>
      </c>
      <c r="AL49" s="339" t="str">
        <f>IF($AF49="","",IF($AF49="-", 0, COUNTIF('4. 특출'!$AJ$6:$AJ$2000,$AF49)))</f>
        <v/>
      </c>
      <c r="AM49" s="336" t="str">
        <f t="shared" si="158"/>
        <v/>
      </c>
      <c r="AN49" s="196"/>
      <c r="AO49" s="432" t="str">
        <f>IF($AF49="","",IF($AF49="-",0, SUMIFS('4. 특출'!$AF$6:$AF$2000,'4. 특출'!$AJ$6:$AJ$2000,$AF49)))</f>
        <v/>
      </c>
      <c r="AP49" s="339" t="str">
        <f>IF($AF49="","",IF($AF49="-", 0, COUNTIF('4. 특출'!$AJ$6:$AJ$2000,$AF49)))</f>
        <v/>
      </c>
      <c r="AQ49" s="336" t="str">
        <f t="shared" si="159"/>
        <v/>
      </c>
    </row>
    <row r="50" spans="1:43" s="135" customFormat="1" ht="69.95" customHeight="1">
      <c r="A50" s="126" t="str">
        <f>IF(D50="","",COUNTA($C$7:C50)-COUNTBLANK($C$7:C50)+9)</f>
        <v/>
      </c>
      <c r="B50" s="127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27" t="str">
        <f>IF(D50="","",IF(OR(D50="교육지원과"),"소방재난본부",VLOOKUP(D50,구분표!$A$3:$C$258,3,)))</f>
        <v/>
      </c>
      <c r="D50" s="194"/>
      <c r="E50" s="181"/>
      <c r="F50" s="350" t="str">
        <f t="shared" si="160"/>
        <v/>
      </c>
      <c r="G50" s="350" t="str">
        <f t="shared" si="160"/>
        <v/>
      </c>
      <c r="H50" s="182"/>
      <c r="I50" s="127" t="str">
        <f>IF(H50="","",VLOOKUP($H50,구분표!$O$3:$P$168,2,FALSE))</f>
        <v/>
      </c>
      <c r="J50" s="183"/>
      <c r="K50" s="419" t="str">
        <f t="shared" si="161"/>
        <v/>
      </c>
      <c r="L50" s="419" t="str">
        <f t="shared" si="162"/>
        <v/>
      </c>
      <c r="M50" s="421" t="str">
        <f t="shared" si="148"/>
        <v/>
      </c>
      <c r="N50" s="420"/>
      <c r="O50" s="421">
        <f t="shared" si="149"/>
        <v>0</v>
      </c>
      <c r="P50" s="422"/>
      <c r="Q50" s="423">
        <f t="shared" si="150"/>
        <v>0</v>
      </c>
      <c r="R50" s="133" t="str">
        <f t="shared" si="151"/>
        <v>X</v>
      </c>
      <c r="S50" s="198"/>
      <c r="T50" s="197"/>
      <c r="U50" s="199"/>
      <c r="V50" s="200"/>
      <c r="W50" s="199"/>
      <c r="X50" s="133" t="str">
        <f t="shared" si="152"/>
        <v/>
      </c>
      <c r="Y50" s="195"/>
      <c r="Z50" s="454" t="str">
        <f t="shared" si="153"/>
        <v/>
      </c>
      <c r="AA50" s="454" t="str">
        <f t="shared" si="154"/>
        <v/>
      </c>
      <c r="AC50" s="454" t="str">
        <f t="shared" si="155"/>
        <v/>
      </c>
      <c r="AD50" s="454" t="str">
        <f t="shared" si="156"/>
        <v/>
      </c>
      <c r="AF50" s="336" t="str">
        <f>IF(AI50="","",IF($X50="도비","-",CONCATENATE(AI50,"-",COUNTIF($AI$7:AI50,AI50))))</f>
        <v/>
      </c>
      <c r="AG50" s="336" t="str">
        <f t="shared" si="157"/>
        <v/>
      </c>
      <c r="AI50" s="336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196"/>
      <c r="AK50" s="432" t="str">
        <f>IF($AF50="","",IF($AF50="-",0, SUMIFS('4. 특출'!$AB$6:$AB$2000,'4. 특출'!$AJ$6:$AJ$2000,$AF50)))</f>
        <v/>
      </c>
      <c r="AL50" s="339" t="str">
        <f>IF($AF50="","",IF($AF50="-", 0, COUNTIF('4. 특출'!$AJ$6:$AJ$2000,$AF50)))</f>
        <v/>
      </c>
      <c r="AM50" s="336" t="str">
        <f t="shared" si="158"/>
        <v/>
      </c>
      <c r="AN50" s="196"/>
      <c r="AO50" s="432" t="str">
        <f>IF($AF50="","",IF($AF50="-",0, SUMIFS('4. 특출'!$AF$6:$AF$2000,'4. 특출'!$AJ$6:$AJ$2000,$AF50)))</f>
        <v/>
      </c>
      <c r="AP50" s="339" t="str">
        <f>IF($AF50="","",IF($AF50="-", 0, COUNTIF('4. 특출'!$AJ$6:$AJ$2000,$AF50)))</f>
        <v/>
      </c>
      <c r="AQ50" s="336" t="str">
        <f t="shared" si="159"/>
        <v/>
      </c>
    </row>
    <row r="51" spans="1:43" s="135" customFormat="1" ht="69.95" customHeight="1">
      <c r="A51" s="126" t="str">
        <f>IF(D51="","",COUNTA($C$7:C51)-COUNTBLANK($C$7:C51)+9)</f>
        <v/>
      </c>
      <c r="B51" s="127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27" t="str">
        <f>IF(D51="","",IF(OR(D51="교육지원과"),"소방재난본부",VLOOKUP(D51,구분표!$A$3:$C$258,3,)))</f>
        <v/>
      </c>
      <c r="D51" s="194"/>
      <c r="E51" s="181"/>
      <c r="F51" s="350" t="str">
        <f t="shared" si="160"/>
        <v/>
      </c>
      <c r="G51" s="350" t="str">
        <f t="shared" si="160"/>
        <v/>
      </c>
      <c r="H51" s="182"/>
      <c r="I51" s="127" t="str">
        <f>IF(H51="","",VLOOKUP($H51,구분표!$O$3:$P$168,2,FALSE))</f>
        <v/>
      </c>
      <c r="J51" s="183"/>
      <c r="K51" s="419" t="str">
        <f t="shared" si="161"/>
        <v/>
      </c>
      <c r="L51" s="419" t="str">
        <f t="shared" si="162"/>
        <v/>
      </c>
      <c r="M51" s="421" t="str">
        <f t="shared" si="148"/>
        <v/>
      </c>
      <c r="N51" s="420"/>
      <c r="O51" s="421">
        <f t="shared" si="149"/>
        <v>0</v>
      </c>
      <c r="P51" s="422"/>
      <c r="Q51" s="423">
        <f t="shared" si="150"/>
        <v>0</v>
      </c>
      <c r="R51" s="133" t="str">
        <f t="shared" si="151"/>
        <v>X</v>
      </c>
      <c r="S51" s="198"/>
      <c r="T51" s="197"/>
      <c r="U51" s="199"/>
      <c r="V51" s="200"/>
      <c r="W51" s="199"/>
      <c r="X51" s="133" t="str">
        <f t="shared" si="152"/>
        <v/>
      </c>
      <c r="Y51" s="195"/>
      <c r="Z51" s="454" t="str">
        <f t="shared" si="153"/>
        <v/>
      </c>
      <c r="AA51" s="454" t="str">
        <f t="shared" si="154"/>
        <v/>
      </c>
      <c r="AC51" s="454" t="str">
        <f t="shared" si="155"/>
        <v/>
      </c>
      <c r="AD51" s="454" t="str">
        <f t="shared" si="156"/>
        <v/>
      </c>
      <c r="AF51" s="336" t="str">
        <f>IF(AI51="","",IF($X51="도비","-",CONCATENATE(AI51,"-",COUNTIF($AI$7:AI51,AI51))))</f>
        <v/>
      </c>
      <c r="AG51" s="336" t="str">
        <f t="shared" si="157"/>
        <v/>
      </c>
      <c r="AI51" s="336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196"/>
      <c r="AK51" s="432" t="str">
        <f>IF($AF51="","",IF($AF51="-",0, SUMIFS('4. 특출'!$AB$6:$AB$2000,'4. 특출'!$AJ$6:$AJ$2000,$AF51)))</f>
        <v/>
      </c>
      <c r="AL51" s="339" t="str">
        <f>IF($AF51="","",IF($AF51="-", 0, COUNTIF('4. 특출'!$AJ$6:$AJ$2000,$AF51)))</f>
        <v/>
      </c>
      <c r="AM51" s="336" t="str">
        <f t="shared" si="158"/>
        <v/>
      </c>
      <c r="AN51" s="196"/>
      <c r="AO51" s="432" t="str">
        <f>IF($AF51="","",IF($AF51="-",0, SUMIFS('4. 특출'!$AF$6:$AF$2000,'4. 특출'!$AJ$6:$AJ$2000,$AF51)))</f>
        <v/>
      </c>
      <c r="AP51" s="339" t="str">
        <f>IF($AF51="","",IF($AF51="-", 0, COUNTIF('4. 특출'!$AJ$6:$AJ$2000,$AF51)))</f>
        <v/>
      </c>
      <c r="AQ51" s="336" t="str">
        <f t="shared" si="159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49"/>
      <c r="N52" s="449"/>
      <c r="O52" s="449"/>
      <c r="P52" s="449"/>
      <c r="Q52" s="449"/>
      <c r="R52" s="43"/>
      <c r="S52" s="43"/>
      <c r="T52" s="43"/>
      <c r="U52" s="43"/>
      <c r="V52" s="43"/>
      <c r="W52" s="43"/>
      <c r="X52" s="50"/>
      <c r="Y52" s="43"/>
      <c r="Z52" s="449"/>
      <c r="AA52" s="449"/>
      <c r="AB52" s="43"/>
      <c r="AC52" s="449"/>
      <c r="AD52" s="449"/>
      <c r="AE52" s="43"/>
      <c r="AF52" s="43"/>
      <c r="AG52" s="43"/>
      <c r="AH52" s="43"/>
      <c r="AI52" s="43"/>
      <c r="AJ52" s="43"/>
      <c r="AK52" s="449"/>
      <c r="AL52" s="43"/>
      <c r="AM52" s="43"/>
      <c r="AN52" s="43"/>
      <c r="AO52" s="449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49"/>
      <c r="N53" s="449"/>
      <c r="O53" s="449"/>
      <c r="P53" s="449"/>
      <c r="Q53" s="449"/>
      <c r="R53" s="43"/>
      <c r="S53" s="43"/>
      <c r="T53" s="43"/>
      <c r="U53" s="43"/>
      <c r="V53" s="43"/>
      <c r="W53" s="43"/>
      <c r="X53" s="50"/>
      <c r="Y53" s="43"/>
      <c r="Z53" s="449"/>
      <c r="AA53" s="449"/>
      <c r="AB53" s="43"/>
      <c r="AC53" s="449"/>
      <c r="AD53" s="449"/>
      <c r="AE53" s="43"/>
      <c r="AF53" s="43"/>
      <c r="AG53" s="43"/>
      <c r="AH53" s="43"/>
      <c r="AI53" s="43"/>
      <c r="AJ53" s="43"/>
      <c r="AK53" s="449"/>
      <c r="AL53" s="43"/>
      <c r="AM53" s="43"/>
      <c r="AN53" s="43"/>
      <c r="AO53" s="449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49"/>
      <c r="N54" s="449"/>
      <c r="O54" s="449"/>
      <c r="P54" s="449"/>
      <c r="Q54" s="449"/>
      <c r="R54" s="43"/>
      <c r="S54" s="43"/>
      <c r="T54" s="43"/>
      <c r="U54" s="43"/>
      <c r="V54" s="43"/>
      <c r="W54" s="43"/>
      <c r="X54" s="50"/>
      <c r="Y54" s="43"/>
      <c r="Z54" s="449"/>
      <c r="AA54" s="449"/>
      <c r="AB54" s="43"/>
      <c r="AC54" s="449"/>
      <c r="AD54" s="449"/>
      <c r="AE54" s="43"/>
      <c r="AF54" s="43"/>
      <c r="AG54" s="43"/>
      <c r="AH54" s="43"/>
      <c r="AI54" s="43"/>
      <c r="AJ54" s="43"/>
      <c r="AK54" s="449"/>
      <c r="AL54" s="43"/>
      <c r="AM54" s="43"/>
      <c r="AN54" s="43"/>
      <c r="AO54" s="449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49"/>
      <c r="N55" s="449"/>
      <c r="O55" s="449"/>
      <c r="P55" s="449"/>
      <c r="Q55" s="449"/>
      <c r="R55" s="43"/>
      <c r="S55" s="43"/>
      <c r="T55" s="43"/>
      <c r="U55" s="43"/>
      <c r="V55" s="43"/>
      <c r="W55" s="43"/>
      <c r="X55" s="50"/>
      <c r="Y55" s="43"/>
      <c r="Z55" s="449"/>
      <c r="AA55" s="449"/>
      <c r="AB55" s="43"/>
      <c r="AC55" s="449"/>
      <c r="AD55" s="449"/>
      <c r="AE55" s="43"/>
      <c r="AF55" s="43"/>
      <c r="AG55" s="43"/>
      <c r="AH55" s="43"/>
      <c r="AI55" s="43"/>
      <c r="AJ55" s="43"/>
      <c r="AK55" s="449"/>
      <c r="AL55" s="43"/>
      <c r="AM55" s="43"/>
      <c r="AN55" s="43"/>
      <c r="AO55" s="449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49"/>
      <c r="N56" s="449"/>
      <c r="O56" s="449"/>
      <c r="P56" s="449"/>
      <c r="Q56" s="449"/>
      <c r="R56" s="43"/>
      <c r="S56" s="43"/>
      <c r="T56" s="43"/>
      <c r="U56" s="43"/>
      <c r="V56" s="43"/>
      <c r="W56" s="43"/>
      <c r="X56" s="50"/>
      <c r="Y56" s="43"/>
      <c r="Z56" s="449"/>
      <c r="AA56" s="449"/>
      <c r="AB56" s="43"/>
      <c r="AC56" s="449"/>
      <c r="AD56" s="449"/>
      <c r="AE56" s="43"/>
      <c r="AF56" s="43"/>
      <c r="AG56" s="43"/>
      <c r="AH56" s="43"/>
      <c r="AI56" s="43"/>
      <c r="AJ56" s="43"/>
      <c r="AK56" s="449"/>
      <c r="AL56" s="43"/>
      <c r="AM56" s="43"/>
      <c r="AN56" s="43"/>
      <c r="AO56" s="449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49"/>
      <c r="N57" s="449"/>
      <c r="O57" s="449"/>
      <c r="P57" s="449"/>
      <c r="Q57" s="449"/>
      <c r="R57" s="43"/>
      <c r="S57" s="43"/>
      <c r="T57" s="43"/>
      <c r="U57" s="43"/>
      <c r="V57" s="43"/>
      <c r="W57" s="43"/>
      <c r="X57" s="50"/>
      <c r="Y57" s="43"/>
      <c r="Z57" s="449"/>
      <c r="AA57" s="449"/>
      <c r="AB57" s="43"/>
      <c r="AC57" s="449"/>
      <c r="AD57" s="449"/>
      <c r="AE57" s="43"/>
      <c r="AF57" s="43"/>
      <c r="AG57" s="43"/>
      <c r="AH57" s="43"/>
      <c r="AI57" s="43"/>
      <c r="AJ57" s="43"/>
      <c r="AK57" s="449"/>
      <c r="AL57" s="43"/>
      <c r="AM57" s="43"/>
      <c r="AN57" s="43"/>
      <c r="AO57" s="449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49"/>
      <c r="N58" s="449"/>
      <c r="O58" s="449"/>
      <c r="P58" s="449"/>
      <c r="Q58" s="449"/>
      <c r="R58" s="43"/>
      <c r="S58" s="43"/>
      <c r="T58" s="43"/>
      <c r="U58" s="43"/>
      <c r="V58" s="43"/>
      <c r="W58" s="43"/>
      <c r="X58" s="50"/>
      <c r="Y58" s="43"/>
      <c r="Z58" s="449"/>
      <c r="AA58" s="449"/>
      <c r="AB58" s="43"/>
      <c r="AC58" s="449"/>
      <c r="AD58" s="449"/>
      <c r="AE58" s="43"/>
      <c r="AF58" s="43"/>
      <c r="AG58" s="43"/>
      <c r="AH58" s="43"/>
      <c r="AI58" s="43"/>
      <c r="AJ58" s="43"/>
      <c r="AK58" s="449"/>
      <c r="AL58" s="43"/>
      <c r="AM58" s="43"/>
      <c r="AN58" s="43"/>
      <c r="AO58" s="449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49"/>
      <c r="N59" s="449"/>
      <c r="O59" s="449"/>
      <c r="P59" s="449"/>
      <c r="Q59" s="449"/>
      <c r="R59" s="43"/>
      <c r="S59" s="43"/>
      <c r="T59" s="43"/>
      <c r="U59" s="43"/>
      <c r="V59" s="43"/>
      <c r="W59" s="43"/>
      <c r="X59" s="50"/>
      <c r="Y59" s="43"/>
      <c r="Z59" s="449"/>
      <c r="AA59" s="449"/>
      <c r="AB59" s="43"/>
      <c r="AC59" s="449"/>
      <c r="AD59" s="449"/>
      <c r="AE59" s="43"/>
      <c r="AF59" s="43"/>
      <c r="AG59" s="43"/>
      <c r="AH59" s="43"/>
      <c r="AI59" s="43"/>
      <c r="AJ59" s="43"/>
      <c r="AK59" s="449"/>
      <c r="AL59" s="43"/>
      <c r="AM59" s="43"/>
      <c r="AN59" s="43"/>
      <c r="AO59" s="449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49"/>
      <c r="N60" s="449"/>
      <c r="O60" s="449"/>
      <c r="P60" s="449"/>
      <c r="Q60" s="449"/>
      <c r="R60" s="43"/>
      <c r="S60" s="43"/>
      <c r="T60" s="43"/>
      <c r="U60" s="43"/>
      <c r="V60" s="43"/>
      <c r="W60" s="43"/>
      <c r="X60" s="50"/>
      <c r="Y60" s="43"/>
      <c r="Z60" s="449"/>
      <c r="AA60" s="449"/>
      <c r="AB60" s="43"/>
      <c r="AC60" s="449"/>
      <c r="AD60" s="449"/>
      <c r="AE60" s="43"/>
      <c r="AF60" s="43"/>
      <c r="AG60" s="43"/>
      <c r="AH60" s="43"/>
      <c r="AI60" s="43"/>
      <c r="AJ60" s="43"/>
      <c r="AK60" s="449"/>
      <c r="AL60" s="43"/>
      <c r="AM60" s="43"/>
      <c r="AN60" s="43"/>
      <c r="AO60" s="449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49"/>
      <c r="N61" s="449"/>
      <c r="O61" s="449"/>
      <c r="P61" s="449"/>
      <c r="Q61" s="449"/>
      <c r="R61" s="43"/>
      <c r="S61" s="43"/>
      <c r="T61" s="43"/>
      <c r="U61" s="43"/>
      <c r="V61" s="43"/>
      <c r="W61" s="43"/>
      <c r="X61" s="50"/>
      <c r="Y61" s="43"/>
      <c r="Z61" s="449"/>
      <c r="AA61" s="449"/>
      <c r="AB61" s="43"/>
      <c r="AC61" s="449"/>
      <c r="AD61" s="449"/>
      <c r="AE61" s="43"/>
      <c r="AF61" s="43"/>
      <c r="AG61" s="43"/>
      <c r="AH61" s="43"/>
      <c r="AI61" s="43"/>
      <c r="AJ61" s="43"/>
      <c r="AK61" s="449"/>
      <c r="AL61" s="43"/>
      <c r="AM61" s="43"/>
      <c r="AN61" s="43"/>
      <c r="AO61" s="449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49"/>
      <c r="N62" s="449"/>
      <c r="O62" s="449"/>
      <c r="P62" s="449"/>
      <c r="Q62" s="449"/>
      <c r="R62" s="43"/>
      <c r="S62" s="43"/>
      <c r="T62" s="43"/>
      <c r="U62" s="43"/>
      <c r="V62" s="43"/>
      <c r="W62" s="43"/>
      <c r="X62" s="50"/>
      <c r="Y62" s="43"/>
      <c r="Z62" s="449"/>
      <c r="AA62" s="449"/>
      <c r="AB62" s="43"/>
      <c r="AC62" s="449"/>
      <c r="AD62" s="449"/>
      <c r="AE62" s="43"/>
      <c r="AF62" s="43"/>
      <c r="AG62" s="43"/>
      <c r="AH62" s="43"/>
      <c r="AI62" s="43"/>
      <c r="AJ62" s="43"/>
      <c r="AK62" s="449"/>
      <c r="AL62" s="43"/>
      <c r="AM62" s="43"/>
      <c r="AN62" s="43"/>
      <c r="AO62" s="449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49"/>
      <c r="N63" s="449"/>
      <c r="O63" s="449"/>
      <c r="P63" s="449"/>
      <c r="Q63" s="449"/>
      <c r="R63" s="43"/>
      <c r="S63" s="43"/>
      <c r="T63" s="43"/>
      <c r="U63" s="43"/>
      <c r="V63" s="43"/>
      <c r="W63" s="43"/>
      <c r="X63" s="50"/>
      <c r="Y63" s="43"/>
      <c r="Z63" s="449"/>
      <c r="AA63" s="449"/>
      <c r="AB63" s="43"/>
      <c r="AC63" s="449"/>
      <c r="AD63" s="449"/>
      <c r="AE63" s="43"/>
      <c r="AF63" s="43"/>
      <c r="AG63" s="43"/>
      <c r="AH63" s="43"/>
      <c r="AI63" s="43"/>
      <c r="AJ63" s="43"/>
      <c r="AK63" s="449"/>
      <c r="AL63" s="43"/>
      <c r="AM63" s="43"/>
      <c r="AN63" s="43"/>
      <c r="AO63" s="449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49"/>
      <c r="N64" s="449"/>
      <c r="O64" s="449"/>
      <c r="P64" s="449"/>
      <c r="Q64" s="449"/>
      <c r="R64" s="43"/>
      <c r="S64" s="43"/>
      <c r="T64" s="43"/>
      <c r="U64" s="43"/>
      <c r="V64" s="43"/>
      <c r="W64" s="43"/>
      <c r="X64" s="50"/>
      <c r="Y64" s="43"/>
      <c r="Z64" s="449"/>
      <c r="AA64" s="449"/>
      <c r="AB64" s="43"/>
      <c r="AC64" s="449"/>
      <c r="AD64" s="449"/>
      <c r="AE64" s="43"/>
      <c r="AF64" s="43"/>
      <c r="AG64" s="43"/>
      <c r="AH64" s="43"/>
      <c r="AI64" s="43"/>
      <c r="AJ64" s="43"/>
      <c r="AK64" s="449"/>
      <c r="AL64" s="43"/>
      <c r="AM64" s="43"/>
      <c r="AN64" s="43"/>
      <c r="AO64" s="449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49"/>
      <c r="N65" s="449"/>
      <c r="O65" s="449"/>
      <c r="P65" s="449"/>
      <c r="Q65" s="449"/>
      <c r="R65" s="43"/>
      <c r="S65" s="43"/>
      <c r="T65" s="43"/>
      <c r="U65" s="43"/>
      <c r="V65" s="43"/>
      <c r="W65" s="43"/>
      <c r="X65" s="50"/>
      <c r="Y65" s="43"/>
      <c r="Z65" s="449"/>
      <c r="AA65" s="449"/>
      <c r="AB65" s="43"/>
      <c r="AC65" s="449"/>
      <c r="AD65" s="449"/>
      <c r="AE65" s="43"/>
      <c r="AF65" s="43"/>
      <c r="AG65" s="43"/>
      <c r="AH65" s="43"/>
      <c r="AI65" s="43"/>
      <c r="AJ65" s="43"/>
      <c r="AK65" s="449"/>
      <c r="AL65" s="43"/>
      <c r="AM65" s="43"/>
      <c r="AN65" s="43"/>
      <c r="AO65" s="449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49"/>
      <c r="N66" s="449"/>
      <c r="O66" s="449"/>
      <c r="P66" s="449"/>
      <c r="Q66" s="449"/>
      <c r="R66" s="43"/>
      <c r="S66" s="43"/>
      <c r="T66" s="43"/>
      <c r="U66" s="43"/>
      <c r="V66" s="43"/>
      <c r="W66" s="43"/>
      <c r="X66" s="50"/>
      <c r="Y66" s="43"/>
      <c r="Z66" s="449"/>
      <c r="AA66" s="449"/>
      <c r="AB66" s="43"/>
      <c r="AC66" s="449"/>
      <c r="AD66" s="449"/>
      <c r="AE66" s="43"/>
      <c r="AF66" s="43"/>
      <c r="AG66" s="43"/>
      <c r="AH66" s="43"/>
      <c r="AI66" s="43"/>
      <c r="AJ66" s="43"/>
      <c r="AK66" s="449"/>
      <c r="AL66" s="43"/>
      <c r="AM66" s="43"/>
      <c r="AN66" s="43"/>
      <c r="AO66" s="449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49"/>
      <c r="N67" s="449"/>
      <c r="O67" s="449"/>
      <c r="P67" s="449"/>
      <c r="Q67" s="449"/>
      <c r="R67" s="43"/>
      <c r="S67" s="43"/>
      <c r="T67" s="43"/>
      <c r="U67" s="43"/>
      <c r="V67" s="43"/>
      <c r="W67" s="43"/>
      <c r="X67" s="50"/>
      <c r="Y67" s="43"/>
      <c r="Z67" s="449"/>
      <c r="AA67" s="449"/>
      <c r="AB67" s="43"/>
      <c r="AC67" s="449"/>
      <c r="AD67" s="449"/>
      <c r="AE67" s="43"/>
      <c r="AF67" s="43"/>
      <c r="AG67" s="43"/>
      <c r="AH67" s="43"/>
      <c r="AI67" s="43"/>
      <c r="AJ67" s="43"/>
      <c r="AK67" s="449"/>
      <c r="AL67" s="43"/>
      <c r="AM67" s="43"/>
      <c r="AN67" s="43"/>
      <c r="AO67" s="449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49"/>
      <c r="N68" s="449"/>
      <c r="O68" s="449"/>
      <c r="P68" s="449"/>
      <c r="Q68" s="449"/>
      <c r="R68" s="43"/>
      <c r="S68" s="43"/>
      <c r="T68" s="43"/>
      <c r="U68" s="43"/>
      <c r="V68" s="43"/>
      <c r="W68" s="43"/>
      <c r="X68" s="50"/>
      <c r="Y68" s="43"/>
      <c r="Z68" s="449"/>
      <c r="AA68" s="449"/>
      <c r="AB68" s="43"/>
      <c r="AC68" s="449"/>
      <c r="AD68" s="449"/>
      <c r="AE68" s="43"/>
      <c r="AF68" s="43"/>
      <c r="AG68" s="43"/>
      <c r="AH68" s="43"/>
      <c r="AI68" s="43"/>
      <c r="AJ68" s="43"/>
      <c r="AK68" s="449"/>
      <c r="AL68" s="43"/>
      <c r="AM68" s="43"/>
      <c r="AN68" s="43"/>
      <c r="AO68" s="449"/>
      <c r="AP68" s="43"/>
      <c r="AQ68" s="43"/>
    </row>
  </sheetData>
  <sheetProtection formatCells="0" autoFilter="0"/>
  <autoFilter ref="A6:AQ51" xr:uid="{6F63810D-7498-4EAA-A7F2-43E373D8C0F8}"/>
  <mergeCells count="43"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</mergeCells>
  <phoneticPr fontId="1" type="noConversion"/>
  <conditionalFormatting sqref="F1:G7 F12:G12 F17:G17 F22:G22 F27:G27 F32:G32 F37:G37 F42:G42 F47:G47 F52:G1048576">
    <cfRule type="containsText" dxfId="774" priority="325" operator="containsText" text="직접입력">
      <formula>NOT(ISERROR(SEARCH("직접입력",F1)))</formula>
    </cfRule>
  </conditionalFormatting>
  <conditionalFormatting sqref="M1:M6 M52:M1048576">
    <cfRule type="containsText" dxfId="773" priority="324" operator="containsText" text="금액입력">
      <formula>NOT(ISERROR(SEARCH("금액입력",M1)))</formula>
    </cfRule>
  </conditionalFormatting>
  <conditionalFormatting sqref="J1:L3 J52:L1048576 J4:J51">
    <cfRule type="containsText" dxfId="772" priority="323" operator="containsText" text="부기명 입력">
      <formula>NOT(ISERROR(SEARCH("부기명 입력",J1)))</formula>
    </cfRule>
  </conditionalFormatting>
  <conditionalFormatting sqref="K4:L5">
    <cfRule type="containsText" dxfId="771" priority="322" operator="containsText" text="금액입력">
      <formula>NOT(ISERROR(SEARCH("금액입력",K4)))</formula>
    </cfRule>
  </conditionalFormatting>
  <conditionalFormatting sqref="K7:Q7">
    <cfRule type="containsText" dxfId="770" priority="249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769" priority="244" operator="containsText" text="금액입력">
      <formula>NOT(ISERROR(SEARCH("금액입력",M8)))</formula>
    </cfRule>
  </conditionalFormatting>
  <conditionalFormatting sqref="K12:Q12">
    <cfRule type="containsText" dxfId="768" priority="239" operator="containsText" text="금액입력">
      <formula>NOT(ISERROR(SEARCH("금액입력",K12)))</formula>
    </cfRule>
  </conditionalFormatting>
  <conditionalFormatting sqref="K17:Q17">
    <cfRule type="containsText" dxfId="767" priority="233" operator="containsText" text="금액입력">
      <formula>NOT(ISERROR(SEARCH("금액입력",K17)))</formula>
    </cfRule>
  </conditionalFormatting>
  <conditionalFormatting sqref="K22:Q22">
    <cfRule type="containsText" dxfId="766" priority="227" operator="containsText" text="금액입력">
      <formula>NOT(ISERROR(SEARCH("금액입력",K22)))</formula>
    </cfRule>
  </conditionalFormatting>
  <conditionalFormatting sqref="K27:Q27">
    <cfRule type="containsText" dxfId="765" priority="221" operator="containsText" text="금액입력">
      <formula>NOT(ISERROR(SEARCH("금액입력",K27)))</formula>
    </cfRule>
  </conditionalFormatting>
  <conditionalFormatting sqref="K32:Q32">
    <cfRule type="containsText" dxfId="764" priority="215" operator="containsText" text="금액입력">
      <formula>NOT(ISERROR(SEARCH("금액입력",K32)))</formula>
    </cfRule>
  </conditionalFormatting>
  <conditionalFormatting sqref="K37:Q37">
    <cfRule type="containsText" dxfId="763" priority="209" operator="containsText" text="금액입력">
      <formula>NOT(ISERROR(SEARCH("금액입력",K37)))</formula>
    </cfRule>
  </conditionalFormatting>
  <conditionalFormatting sqref="K42:Q42">
    <cfRule type="containsText" dxfId="762" priority="203" operator="containsText" text="금액입력">
      <formula>NOT(ISERROR(SEARCH("금액입력",K42)))</formula>
    </cfRule>
  </conditionalFormatting>
  <conditionalFormatting sqref="K47:Q47">
    <cfRule type="containsText" dxfId="761" priority="197" operator="containsText" text="금액입력">
      <formula>NOT(ISERROR(SEARCH("금액입력",K47)))</formula>
    </cfRule>
  </conditionalFormatting>
  <conditionalFormatting sqref="K6:L6">
    <cfRule type="containsText" dxfId="760" priority="192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759" priority="151" operator="containsText" text="직접입력">
      <formula>NOT(ISERROR(SEARCH("직접입력",B8)))</formula>
    </cfRule>
  </conditionalFormatting>
  <conditionalFormatting sqref="F8:G11">
    <cfRule type="containsText" dxfId="758" priority="100" operator="containsText" text="직접입력">
      <formula>NOT(ISERROR(SEARCH("직접입력",F8)))</formula>
    </cfRule>
  </conditionalFormatting>
  <conditionalFormatting sqref="K8:K11">
    <cfRule type="containsText" dxfId="757" priority="83" operator="containsText" text="부기명 입력">
      <formula>NOT(ISERROR(SEARCH("부기명 입력",K8)))</formula>
    </cfRule>
  </conditionalFormatting>
  <conditionalFormatting sqref="K8:K11">
    <cfRule type="containsText" dxfId="756" priority="82" operator="containsText" text="금액입력">
      <formula>NOT(ISERROR(SEARCH("금액입력",K8)))</formula>
    </cfRule>
  </conditionalFormatting>
  <conditionalFormatting sqref="L8:L11">
    <cfRule type="containsText" dxfId="755" priority="81" operator="containsText" text="금액입력">
      <formula>NOT(ISERROR(SEARCH("금액입력",L8)))</formula>
    </cfRule>
  </conditionalFormatting>
  <conditionalFormatting sqref="F13:G16">
    <cfRule type="containsText" dxfId="754" priority="32" operator="containsText" text="직접입력">
      <formula>NOT(ISERROR(SEARCH("직접입력",F13)))</formula>
    </cfRule>
  </conditionalFormatting>
  <conditionalFormatting sqref="F18:G21">
    <cfRule type="containsText" dxfId="753" priority="31" operator="containsText" text="직접입력">
      <formula>NOT(ISERROR(SEARCH("직접입력",F18)))</formula>
    </cfRule>
  </conditionalFormatting>
  <conditionalFormatting sqref="F23:G26">
    <cfRule type="containsText" dxfId="752" priority="30" operator="containsText" text="직접입력">
      <formula>NOT(ISERROR(SEARCH("직접입력",F23)))</formula>
    </cfRule>
  </conditionalFormatting>
  <conditionalFormatting sqref="F28:G31">
    <cfRule type="containsText" dxfId="751" priority="29" operator="containsText" text="직접입력">
      <formula>NOT(ISERROR(SEARCH("직접입력",F28)))</formula>
    </cfRule>
  </conditionalFormatting>
  <conditionalFormatting sqref="F33:G36">
    <cfRule type="containsText" dxfId="750" priority="28" operator="containsText" text="직접입력">
      <formula>NOT(ISERROR(SEARCH("직접입력",F33)))</formula>
    </cfRule>
  </conditionalFormatting>
  <conditionalFormatting sqref="F38:G41">
    <cfRule type="containsText" dxfId="749" priority="27" operator="containsText" text="직접입력">
      <formula>NOT(ISERROR(SEARCH("직접입력",F38)))</formula>
    </cfRule>
  </conditionalFormatting>
  <conditionalFormatting sqref="F43:G46">
    <cfRule type="containsText" dxfId="748" priority="26" operator="containsText" text="직접입력">
      <formula>NOT(ISERROR(SEARCH("직접입력",F43)))</formula>
    </cfRule>
  </conditionalFormatting>
  <conditionalFormatting sqref="F48:G51">
    <cfRule type="containsText" dxfId="747" priority="25" operator="containsText" text="직접입력">
      <formula>NOT(ISERROR(SEARCH("직접입력",F48)))</formula>
    </cfRule>
  </conditionalFormatting>
  <conditionalFormatting sqref="K13:K16">
    <cfRule type="containsText" dxfId="746" priority="24" operator="containsText" text="부기명 입력">
      <formula>NOT(ISERROR(SEARCH("부기명 입력",K13)))</formula>
    </cfRule>
  </conditionalFormatting>
  <conditionalFormatting sqref="K13:K16">
    <cfRule type="containsText" dxfId="745" priority="23" operator="containsText" text="금액입력">
      <formula>NOT(ISERROR(SEARCH("금액입력",K13)))</formula>
    </cfRule>
  </conditionalFormatting>
  <conditionalFormatting sqref="L13:L16">
    <cfRule type="containsText" dxfId="744" priority="22" operator="containsText" text="금액입력">
      <formula>NOT(ISERROR(SEARCH("금액입력",L13)))</formula>
    </cfRule>
  </conditionalFormatting>
  <conditionalFormatting sqref="K18:K21">
    <cfRule type="containsText" dxfId="743" priority="21" operator="containsText" text="부기명 입력">
      <formula>NOT(ISERROR(SEARCH("부기명 입력",K18)))</formula>
    </cfRule>
  </conditionalFormatting>
  <conditionalFormatting sqref="K18:K21">
    <cfRule type="containsText" dxfId="742" priority="20" operator="containsText" text="금액입력">
      <formula>NOT(ISERROR(SEARCH("금액입력",K18)))</formula>
    </cfRule>
  </conditionalFormatting>
  <conditionalFormatting sqref="L18:L21">
    <cfRule type="containsText" dxfId="741" priority="19" operator="containsText" text="금액입력">
      <formula>NOT(ISERROR(SEARCH("금액입력",L18)))</formula>
    </cfRule>
  </conditionalFormatting>
  <conditionalFormatting sqref="K23:K26">
    <cfRule type="containsText" dxfId="740" priority="18" operator="containsText" text="부기명 입력">
      <formula>NOT(ISERROR(SEARCH("부기명 입력",K23)))</formula>
    </cfRule>
  </conditionalFormatting>
  <conditionalFormatting sqref="K23:K26">
    <cfRule type="containsText" dxfId="739" priority="17" operator="containsText" text="금액입력">
      <formula>NOT(ISERROR(SEARCH("금액입력",K23)))</formula>
    </cfRule>
  </conditionalFormatting>
  <conditionalFormatting sqref="L23:L26">
    <cfRule type="containsText" dxfId="738" priority="16" operator="containsText" text="금액입력">
      <formula>NOT(ISERROR(SEARCH("금액입력",L23)))</formula>
    </cfRule>
  </conditionalFormatting>
  <conditionalFormatting sqref="K28:K31">
    <cfRule type="containsText" dxfId="737" priority="15" operator="containsText" text="부기명 입력">
      <formula>NOT(ISERROR(SEARCH("부기명 입력",K28)))</formula>
    </cfRule>
  </conditionalFormatting>
  <conditionalFormatting sqref="K28:K31">
    <cfRule type="containsText" dxfId="736" priority="14" operator="containsText" text="금액입력">
      <formula>NOT(ISERROR(SEARCH("금액입력",K28)))</formula>
    </cfRule>
  </conditionalFormatting>
  <conditionalFormatting sqref="L28:L31">
    <cfRule type="containsText" dxfId="735" priority="13" operator="containsText" text="금액입력">
      <formula>NOT(ISERROR(SEARCH("금액입력",L28)))</formula>
    </cfRule>
  </conditionalFormatting>
  <conditionalFormatting sqref="K33:K36">
    <cfRule type="containsText" dxfId="734" priority="12" operator="containsText" text="부기명 입력">
      <formula>NOT(ISERROR(SEARCH("부기명 입력",K33)))</formula>
    </cfRule>
  </conditionalFormatting>
  <conditionalFormatting sqref="K33:K36">
    <cfRule type="containsText" dxfId="733" priority="11" operator="containsText" text="금액입력">
      <formula>NOT(ISERROR(SEARCH("금액입력",K33)))</formula>
    </cfRule>
  </conditionalFormatting>
  <conditionalFormatting sqref="L33:L36">
    <cfRule type="containsText" dxfId="732" priority="10" operator="containsText" text="금액입력">
      <formula>NOT(ISERROR(SEARCH("금액입력",L33)))</formula>
    </cfRule>
  </conditionalFormatting>
  <conditionalFormatting sqref="K38:K41">
    <cfRule type="containsText" dxfId="731" priority="9" operator="containsText" text="부기명 입력">
      <formula>NOT(ISERROR(SEARCH("부기명 입력",K38)))</formula>
    </cfRule>
  </conditionalFormatting>
  <conditionalFormatting sqref="K38:K41">
    <cfRule type="containsText" dxfId="730" priority="8" operator="containsText" text="금액입력">
      <formula>NOT(ISERROR(SEARCH("금액입력",K38)))</formula>
    </cfRule>
  </conditionalFormatting>
  <conditionalFormatting sqref="L38:L41">
    <cfRule type="containsText" dxfId="729" priority="7" operator="containsText" text="금액입력">
      <formula>NOT(ISERROR(SEARCH("금액입력",L38)))</formula>
    </cfRule>
  </conditionalFormatting>
  <conditionalFormatting sqref="K43:K46">
    <cfRule type="containsText" dxfId="728" priority="6" operator="containsText" text="부기명 입력">
      <formula>NOT(ISERROR(SEARCH("부기명 입력",K43)))</formula>
    </cfRule>
  </conditionalFormatting>
  <conditionalFormatting sqref="K43:K46">
    <cfRule type="containsText" dxfId="727" priority="5" operator="containsText" text="금액입력">
      <formula>NOT(ISERROR(SEARCH("금액입력",K43)))</formula>
    </cfRule>
  </conditionalFormatting>
  <conditionalFormatting sqref="L43:L46">
    <cfRule type="containsText" dxfId="726" priority="4" operator="containsText" text="금액입력">
      <formula>NOT(ISERROR(SEARCH("금액입력",L43)))</formula>
    </cfRule>
  </conditionalFormatting>
  <conditionalFormatting sqref="K48:K51">
    <cfRule type="containsText" dxfId="725" priority="3" operator="containsText" text="부기명 입력">
      <formula>NOT(ISERROR(SEARCH("부기명 입력",K48)))</formula>
    </cfRule>
  </conditionalFormatting>
  <conditionalFormatting sqref="K48:K51">
    <cfRule type="containsText" dxfId="724" priority="2" operator="containsText" text="금액입력">
      <formula>NOT(ISERROR(SEARCH("금액입력",K48)))</formula>
    </cfRule>
  </conditionalFormatting>
  <conditionalFormatting sqref="L48:L51">
    <cfRule type="containsText" dxfId="723" priority="1" operator="containsText" text="금액입력">
      <formula>NOT(ISERROR(SEARCH("금액입력",L48)))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3:E36 E38:E41 E43:E46 E8:E11 E13:E16 E18:E21 E23:E26 E28:E31 E48:E51" xr:uid="{D8441964-E9B1-4D49-B6E9-D186635FCCBA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activeCell="A48" sqref="A48"/>
      <selection pane="bottomLeft" activeCell="A48" sqref="A48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14" customWidth="1"/>
    <col min="19" max="19" width="25.625" style="438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14" customWidth="1"/>
    <col min="30" max="30" width="17.875" style="20" bestFit="1" customWidth="1"/>
    <col min="31" max="31" width="4.5" customWidth="1"/>
    <col min="32" max="33" width="25.625" style="414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926" t="s">
        <v>1102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  <c r="AB1" s="954" t="s">
        <v>1088</v>
      </c>
      <c r="AC1" s="955"/>
      <c r="AD1" s="956"/>
      <c r="AF1" s="957" t="s">
        <v>1088</v>
      </c>
      <c r="AG1" s="958"/>
      <c r="AH1" s="959"/>
      <c r="AJ1" s="909" t="s">
        <v>1087</v>
      </c>
      <c r="AK1" s="910"/>
      <c r="AL1" s="910"/>
      <c r="AM1" s="910"/>
      <c r="AN1" s="911"/>
    </row>
    <row r="2" spans="1:43" ht="39.75" customHeight="1"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505"/>
      <c r="N2" s="505"/>
      <c r="O2" s="456"/>
      <c r="P2" s="433">
        <f>SUM(P6:P155)/2</f>
        <v>0</v>
      </c>
      <c r="Q2" s="433">
        <f>SUM(Q6:Q155)/2</f>
        <v>0</v>
      </c>
      <c r="R2" s="433">
        <f>SUM(R6:R155)/2</f>
        <v>0</v>
      </c>
      <c r="S2" s="433">
        <f>SUM(S6:S155)/2</f>
        <v>0</v>
      </c>
      <c r="T2" s="73"/>
      <c r="U2" s="30"/>
      <c r="V2" s="30"/>
      <c r="W2" s="34"/>
      <c r="X2" s="70"/>
      <c r="Y2" s="70"/>
      <c r="Z2" s="70" t="s">
        <v>297</v>
      </c>
      <c r="AB2" s="452" t="str">
        <f>IF(AB5='4. 특입'!Z6,"OK","@@")</f>
        <v>OK</v>
      </c>
      <c r="AC2" s="452" t="str">
        <f>IF(AC5='4. 특입'!AA6,"OK","@@")</f>
        <v>OK</v>
      </c>
      <c r="AD2" s="348"/>
      <c r="AE2" s="301"/>
      <c r="AF2" s="452" t="str">
        <f>IF(AF5='4. 특입'!AC6,"OK","@@")</f>
        <v>OK</v>
      </c>
      <c r="AG2" s="452" t="str">
        <f>IF(AG5='4. 특입'!AD6,"OK","@@")</f>
        <v>OK</v>
      </c>
      <c r="AH2" s="23"/>
    </row>
    <row r="3" spans="1:43" s="294" customFormat="1" ht="60" customHeight="1">
      <c r="A3" s="885" t="s">
        <v>184</v>
      </c>
      <c r="B3" s="889" t="s">
        <v>110</v>
      </c>
      <c r="C3" s="889" t="s">
        <v>111</v>
      </c>
      <c r="D3" s="889" t="s">
        <v>112</v>
      </c>
      <c r="E3" s="891" t="s">
        <v>113</v>
      </c>
      <c r="F3" s="891" t="s">
        <v>1117</v>
      </c>
      <c r="G3" s="891" t="s">
        <v>251</v>
      </c>
      <c r="H3" s="960" t="s">
        <v>767</v>
      </c>
      <c r="I3" s="885" t="s">
        <v>269</v>
      </c>
      <c r="J3" s="885" t="s">
        <v>768</v>
      </c>
      <c r="K3" s="885" t="s">
        <v>766</v>
      </c>
      <c r="L3" s="885" t="s">
        <v>504</v>
      </c>
      <c r="M3" s="887" t="s">
        <v>2040</v>
      </c>
      <c r="N3" s="887" t="s">
        <v>1693</v>
      </c>
      <c r="O3" s="887" t="s">
        <v>1109</v>
      </c>
      <c r="P3" s="867" t="s">
        <v>1110</v>
      </c>
      <c r="Q3" s="866" t="s">
        <v>1113</v>
      </c>
      <c r="R3" s="867" t="s">
        <v>1111</v>
      </c>
      <c r="S3" s="866" t="s">
        <v>1112</v>
      </c>
      <c r="T3" s="893" t="s">
        <v>253</v>
      </c>
      <c r="U3" s="866" t="s">
        <v>255</v>
      </c>
      <c r="V3" s="866" t="s">
        <v>254</v>
      </c>
      <c r="W3" s="866" t="s">
        <v>256</v>
      </c>
      <c r="X3" s="893" t="s">
        <v>762</v>
      </c>
      <c r="Y3" s="893" t="s">
        <v>298</v>
      </c>
      <c r="Z3" s="964" t="s">
        <v>115</v>
      </c>
      <c r="AB3" s="935" t="s">
        <v>117</v>
      </c>
      <c r="AC3" s="935"/>
      <c r="AD3" s="935"/>
      <c r="AF3" s="938" t="s">
        <v>121</v>
      </c>
      <c r="AG3" s="938"/>
      <c r="AH3" s="938"/>
      <c r="AJ3" s="963" t="s">
        <v>122</v>
      </c>
      <c r="AK3" s="879" t="s">
        <v>130</v>
      </c>
      <c r="AL3" s="879" t="s">
        <v>1046</v>
      </c>
      <c r="AM3" s="923" t="s">
        <v>116</v>
      </c>
      <c r="AN3" s="879" t="s">
        <v>1049</v>
      </c>
      <c r="AP3" s="878" t="s">
        <v>123</v>
      </c>
    </row>
    <row r="4" spans="1:43" s="294" customFormat="1" ht="60" customHeight="1">
      <c r="A4" s="885"/>
      <c r="B4" s="889"/>
      <c r="C4" s="889"/>
      <c r="D4" s="889"/>
      <c r="E4" s="891"/>
      <c r="F4" s="891"/>
      <c r="G4" s="891"/>
      <c r="H4" s="961"/>
      <c r="I4" s="885"/>
      <c r="J4" s="885"/>
      <c r="K4" s="885"/>
      <c r="L4" s="885"/>
      <c r="M4" s="888"/>
      <c r="N4" s="888"/>
      <c r="O4" s="888"/>
      <c r="P4" s="869"/>
      <c r="Q4" s="892"/>
      <c r="R4" s="869"/>
      <c r="S4" s="892"/>
      <c r="T4" s="893"/>
      <c r="U4" s="866"/>
      <c r="V4" s="866"/>
      <c r="W4" s="866"/>
      <c r="X4" s="893"/>
      <c r="Y4" s="893"/>
      <c r="Z4" s="934"/>
      <c r="AB4" s="453" t="s">
        <v>118</v>
      </c>
      <c r="AC4" s="453" t="s">
        <v>119</v>
      </c>
      <c r="AD4" s="315" t="s">
        <v>1080</v>
      </c>
      <c r="AF4" s="440" t="s">
        <v>118</v>
      </c>
      <c r="AG4" s="440" t="s">
        <v>119</v>
      </c>
      <c r="AH4" s="341" t="s">
        <v>1080</v>
      </c>
      <c r="AJ4" s="963"/>
      <c r="AK4" s="879"/>
      <c r="AL4" s="879"/>
      <c r="AM4" s="923"/>
      <c r="AN4" s="879"/>
      <c r="AP4" s="880"/>
    </row>
    <row r="5" spans="1:43" s="390" customFormat="1" ht="80.099999999999994" customHeight="1">
      <c r="A5" s="392"/>
      <c r="B5" s="151" t="s">
        <v>128</v>
      </c>
      <c r="C5" s="383" t="s">
        <v>191</v>
      </c>
      <c r="D5" s="384"/>
      <c r="E5" s="385"/>
      <c r="F5" s="393"/>
      <c r="G5" s="393"/>
      <c r="H5" s="394" t="s">
        <v>191</v>
      </c>
      <c r="I5" s="394" t="s">
        <v>191</v>
      </c>
      <c r="J5" s="394" t="s">
        <v>191</v>
      </c>
      <c r="K5" s="394" t="s">
        <v>191</v>
      </c>
      <c r="L5" s="342" t="str">
        <f>SUBTOTAL(3,L$7:L$1991)&amp;"건"</f>
        <v>0건</v>
      </c>
      <c r="M5" s="457">
        <f t="shared" ref="M5:N5" si="0">SUBTOTAL(9,M$6:M$1991)</f>
        <v>0</v>
      </c>
      <c r="N5" s="457">
        <f t="shared" si="0"/>
        <v>0</v>
      </c>
      <c r="O5" s="457">
        <f>SUBTOTAL(9,O$6:O$1991)</f>
        <v>0</v>
      </c>
      <c r="P5" s="457">
        <f>SUBTOTAL(9,P$6:P$1991)</f>
        <v>0</v>
      </c>
      <c r="Q5" s="457">
        <f>SUBTOTAL(9,Q$6:Q$1991)</f>
        <v>0</v>
      </c>
      <c r="R5" s="457">
        <f>SUBTOTAL(9,R$6:R$1991)</f>
        <v>0</v>
      </c>
      <c r="S5" s="457">
        <f>SUBTOTAL(9,S$6:S$1991)</f>
        <v>0</v>
      </c>
      <c r="T5" s="152"/>
      <c r="U5" s="395"/>
      <c r="V5" s="396"/>
      <c r="W5" s="392"/>
      <c r="X5" s="397"/>
      <c r="Y5" s="397"/>
      <c r="Z5" s="398"/>
      <c r="AA5" s="38"/>
      <c r="AB5" s="457">
        <f>SUBTOTAL(9,AB$6:AB$2000)</f>
        <v>0</v>
      </c>
      <c r="AC5" s="457">
        <f>SUBTOTAL(9,AC$6:AC$2000)</f>
        <v>0</v>
      </c>
      <c r="AD5" s="316" t="str">
        <f>IF(COUNTIF(AD$7:AD$2000,"@@")&gt;0,"@@","OK")</f>
        <v>OK</v>
      </c>
      <c r="AE5" s="399"/>
      <c r="AF5" s="457">
        <f>SUBTOTAL(9,AF$6:AF$2000)</f>
        <v>0</v>
      </c>
      <c r="AG5" s="457">
        <f>SUBTOTAL(9,AG$6:AG$2000)</f>
        <v>0</v>
      </c>
      <c r="AH5" s="316" t="str">
        <f>IF(COUNTIF(AH$7:AH$2000,"@@")&gt;0,"@@","OK")</f>
        <v>OK</v>
      </c>
      <c r="AI5" s="38"/>
      <c r="AJ5" s="316"/>
      <c r="AK5" s="344"/>
      <c r="AL5" s="316" t="str">
        <f>IF(COUNTIF(AL$7:AL$2000,"@@")&gt;0,"@@","OK")</f>
        <v>OK</v>
      </c>
      <c r="AM5" s="400"/>
      <c r="AN5" s="316" t="str">
        <f>IF(COUNTIF(AN$7:AN$2000,"@@")&gt;0,"@@","OK")</f>
        <v>OK</v>
      </c>
      <c r="AO5" s="38"/>
      <c r="AP5" s="316"/>
    </row>
    <row r="6" spans="1:43" ht="60" customHeight="1">
      <c r="A6" s="144"/>
      <c r="B6" s="962" t="s">
        <v>769</v>
      </c>
      <c r="C6" s="962"/>
      <c r="D6" s="962"/>
      <c r="E6" s="962"/>
      <c r="F6" s="962"/>
      <c r="G6" s="962"/>
      <c r="H6" s="145"/>
      <c r="I6" s="145"/>
      <c r="J6" s="145"/>
      <c r="K6" s="145"/>
      <c r="L6" s="317" t="str">
        <f>SUBTOTAL(3,L7:L10)&amp;"건"</f>
        <v>0건</v>
      </c>
      <c r="M6" s="437">
        <f t="shared" ref="M6:S6" si="1">SUBTOTAL(9,M7:M10)</f>
        <v>0</v>
      </c>
      <c r="N6" s="437">
        <f t="shared" si="1"/>
        <v>0</v>
      </c>
      <c r="O6" s="437">
        <f t="shared" si="1"/>
        <v>0</v>
      </c>
      <c r="P6" s="437">
        <f t="shared" si="1"/>
        <v>0</v>
      </c>
      <c r="Q6" s="437">
        <f t="shared" si="1"/>
        <v>0</v>
      </c>
      <c r="R6" s="437">
        <f t="shared" si="1"/>
        <v>0</v>
      </c>
      <c r="S6" s="437">
        <f t="shared" si="1"/>
        <v>0</v>
      </c>
      <c r="T6" s="144"/>
      <c r="U6" s="146"/>
      <c r="V6" s="146"/>
      <c r="W6" s="147"/>
      <c r="X6" s="148"/>
      <c r="Y6" s="148"/>
      <c r="Z6" s="81"/>
      <c r="AA6" s="43"/>
      <c r="AB6" s="424">
        <f>SUBTOTAL(9,AB7:AB10)</f>
        <v>0</v>
      </c>
      <c r="AC6" s="424">
        <f>SUBTOTAL(9,AC7:AC10)</f>
        <v>0</v>
      </c>
      <c r="AD6" s="511" t="str">
        <f>IF(COUNTIF(AD7:AD10,"@@")&gt;0,"@@","OK")</f>
        <v>OK</v>
      </c>
      <c r="AF6" s="424">
        <f>SUBTOTAL(9,AF7:AF10)</f>
        <v>0</v>
      </c>
      <c r="AG6" s="424">
        <f>SUBTOTAL(9,AG7:AG10)</f>
        <v>0</v>
      </c>
      <c r="AH6" s="511" t="str">
        <f>IF(COUNTIF(AH7:AH10,"@@")&gt;0,"@@","OK")</f>
        <v>OK</v>
      </c>
      <c r="AI6" s="36"/>
      <c r="AJ6" s="81"/>
      <c r="AK6" s="81"/>
      <c r="AL6" s="511" t="str">
        <f>IF(COUNTIF(AL7:AL10,"@@")&gt;0,"@@","OK")</f>
        <v>OK</v>
      </c>
      <c r="AM6" s="81"/>
      <c r="AN6" s="511" t="str">
        <f>IF(COUNTIF(AN7:AN10,"@@")&gt;0,"@@","OK")</f>
        <v>OK</v>
      </c>
      <c r="AO6" s="36"/>
      <c r="AP6" s="81"/>
    </row>
    <row r="7" spans="1:43" ht="80.099999999999994" customHeight="1">
      <c r="A7" s="126" t="str">
        <f>IF(D7="","",COUNTA($C$6:C7)-COUNTBLANK($C$6:C7)+1)</f>
        <v/>
      </c>
      <c r="B7" s="127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27" t="str">
        <f>IF(D7="","",IF(OR(D7="교육지원과"),"소방재난본부",VLOOKUP(D7,구분표!$A$3:$C$258,3,)))</f>
        <v/>
      </c>
      <c r="D7" s="194"/>
      <c r="E7" s="181" t="s">
        <v>1696</v>
      </c>
      <c r="F7" s="350" t="str">
        <f>IF($E7="","",IF($E7="2추","직접입력","-"))</f>
        <v>-</v>
      </c>
      <c r="G7" s="350" t="str">
        <f>IF($E7="","",IF($E7="2추","직접입력","-"))</f>
        <v>-</v>
      </c>
      <c r="H7" s="181"/>
      <c r="I7" s="127" t="str">
        <f>IF(H7="","",VLOOKUP($H7,구분표!$K$3:$M$151,2,FALSE))</f>
        <v/>
      </c>
      <c r="J7" s="127" t="str">
        <f>IF(I7="","",VLOOKUP($H7,구분표!$K$3:$M$151,3,FALSE))</f>
        <v/>
      </c>
      <c r="K7" s="201"/>
      <c r="L7" s="201"/>
      <c r="M7" s="419" t="str">
        <f>IF($E7="","",IF(OR($E7="2추", $E7="1추", $E7="본예산"), "금액입력", "-"))</f>
        <v>금액입력</v>
      </c>
      <c r="N7" s="419" t="str">
        <f>IF($E7="", "", IF($E7="2추","금액입력", "-"))</f>
        <v>-</v>
      </c>
      <c r="O7" s="421">
        <f>IF($E7="","",SUM(M7:N7))</f>
        <v>0</v>
      </c>
      <c r="P7" s="420"/>
      <c r="Q7" s="421">
        <f>SUM(O7:P7)</f>
        <v>0</v>
      </c>
      <c r="R7" s="422"/>
      <c r="S7" s="423">
        <f>SUM(O7,R7)</f>
        <v>0</v>
      </c>
      <c r="T7" s="133" t="str">
        <f t="shared" ref="T7" si="2">IF(AND((Q7=0),(S7&gt;0)),"O",IF(AND((P7&lt;0),(Q7-S7&lt;0)),"O","X"))</f>
        <v>X</v>
      </c>
      <c r="U7" s="201"/>
      <c r="V7" s="192"/>
      <c r="W7" s="185"/>
      <c r="X7" s="202"/>
      <c r="Y7" s="185"/>
      <c r="Z7" s="320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34"/>
      <c r="AB7" s="446" t="str">
        <f t="shared" ref="AB7:AB50" si="3">IF($Z7="","",IF($Z7="국도비","금액입력",0))</f>
        <v/>
      </c>
      <c r="AC7" s="447">
        <f t="shared" ref="AC7" si="4">IFERROR(P7-AB7,0)</f>
        <v>0</v>
      </c>
      <c r="AD7" s="320" t="str">
        <f t="shared" ref="AD7:AD50" si="5">IF($P7=SUM($AB7:$AC7),"OK","@@")</f>
        <v>OK</v>
      </c>
      <c r="AF7" s="462" t="str">
        <f t="shared" ref="AF7:AF50" si="6">IF($Z7="","",IF($Z7="국도비","금액입력",0))</f>
        <v/>
      </c>
      <c r="AG7" s="463">
        <f t="shared" ref="AG7" si="7">IFERROR(R7-AF7,0)</f>
        <v>0</v>
      </c>
      <c r="AH7" s="343" t="str">
        <f t="shared" ref="AH7:AH50" si="8">IF($R7=SUM($AF7:$AG7),"OK","@@")</f>
        <v>OK</v>
      </c>
      <c r="AI7" s="47"/>
      <c r="AJ7" s="189" t="str">
        <f t="shared" ref="AJ7:AJ50" si="9">IF($Z7="","",IF($Z7="도비","-","세입번호입력"))</f>
        <v/>
      </c>
      <c r="AK7" s="320" t="str">
        <f t="shared" ref="AK7:AK50" si="10">IF(OR($AJ7="",$AJ7="-", $AJ7="세입번호입력"),"", COUNTIF($AJ$7:$AJ$995, $AJ7))</f>
        <v/>
      </c>
      <c r="AL7" s="320" t="str">
        <f t="shared" ref="AL7:AL50" si="11">IF($AJ7="","",IF($Z7="도비", "OK",IF(AND($Z7="국도비",$AJ7="세입없음"),"OK", IF(AND($Z7="국도비",$AJ7="세입번호입력"),"@@","OK"))))</f>
        <v/>
      </c>
      <c r="AM7" s="320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20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45"/>
      <c r="AQ7" s="27"/>
    </row>
    <row r="8" spans="1:43" ht="80.099999999999994" customHeight="1">
      <c r="A8" s="126" t="str">
        <f>IF(D8="","",COUNTA($C$6:C8)-COUNTBLANK($C$6:C8)+1)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IF(D8="","",IF(OR(D8="교육지원과"),"소방재난본부",VLOOKUP(D8,구분표!$A$3:$C$258,3,)))</f>
        <v/>
      </c>
      <c r="D8" s="194"/>
      <c r="E8" s="181" t="s">
        <v>1695</v>
      </c>
      <c r="F8" s="350" t="str">
        <f t="shared" ref="F8:G10" si="13">IF($E8="","",IF($E8="2추","직접입력","-"))</f>
        <v>-</v>
      </c>
      <c r="G8" s="350" t="str">
        <f t="shared" si="13"/>
        <v>-</v>
      </c>
      <c r="H8" s="181"/>
      <c r="I8" s="127" t="str">
        <f>IF(H8="","",VLOOKUP($H8,구분표!$K$3:$M$151,2,FALSE))</f>
        <v/>
      </c>
      <c r="J8" s="127" t="str">
        <f>IF(I8="","",VLOOKUP($H8,구분표!$K$3:$M$151,3,FALSE))</f>
        <v/>
      </c>
      <c r="K8" s="201"/>
      <c r="L8" s="201"/>
      <c r="M8" s="419" t="str">
        <f t="shared" ref="M8:M10" si="14">IF($E8="","",IF(OR($E8="2추", $E8="1추", $E8="본예산"), "금액입력", "-"))</f>
        <v>금액입력</v>
      </c>
      <c r="N8" s="419" t="str">
        <f t="shared" ref="N8:N10" si="15">IF($E8="", "", IF($E8="2추","금액입력", "-"))</f>
        <v>-</v>
      </c>
      <c r="O8" s="421">
        <f t="shared" ref="O8:O10" si="16">IF($E8="","",SUM(M8:N8))</f>
        <v>0</v>
      </c>
      <c r="P8" s="420"/>
      <c r="Q8" s="421">
        <f t="shared" ref="Q8:Q10" si="17">SUM(O8:P8)</f>
        <v>0</v>
      </c>
      <c r="R8" s="422"/>
      <c r="S8" s="423">
        <f t="shared" ref="S8:S10" si="18">SUM(O8,R8)</f>
        <v>0</v>
      </c>
      <c r="T8" s="133" t="str">
        <f t="shared" ref="T8:T10" si="19">IF(AND((Q8=0),(S8&gt;0)),"O",IF(AND((P8&lt;0),(Q8-S8&lt;0)),"O","X"))</f>
        <v>X</v>
      </c>
      <c r="U8" s="201"/>
      <c r="V8" s="192"/>
      <c r="W8" s="185"/>
      <c r="X8" s="202"/>
      <c r="Y8" s="185"/>
      <c r="Z8" s="320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34"/>
      <c r="AB8" s="446" t="str">
        <f t="shared" si="3"/>
        <v/>
      </c>
      <c r="AC8" s="447">
        <f t="shared" ref="AC8:AC10" si="21">IFERROR(P8-AB8,0)</f>
        <v>0</v>
      </c>
      <c r="AD8" s="320" t="str">
        <f t="shared" si="5"/>
        <v>OK</v>
      </c>
      <c r="AF8" s="462" t="str">
        <f t="shared" si="6"/>
        <v/>
      </c>
      <c r="AG8" s="463">
        <f t="shared" ref="AG8:AG10" si="22">IFERROR(R8-AF8,0)</f>
        <v>0</v>
      </c>
      <c r="AH8" s="343" t="str">
        <f t="shared" si="8"/>
        <v>OK</v>
      </c>
      <c r="AI8" s="47"/>
      <c r="AJ8" s="189" t="str">
        <f t="shared" si="9"/>
        <v/>
      </c>
      <c r="AK8" s="320" t="str">
        <f t="shared" si="10"/>
        <v/>
      </c>
      <c r="AL8" s="320" t="str">
        <f t="shared" si="11"/>
        <v/>
      </c>
      <c r="AM8" s="320" t="str">
        <f t="shared" si="12"/>
        <v/>
      </c>
      <c r="AN8" s="320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45"/>
      <c r="AQ8" s="27"/>
    </row>
    <row r="9" spans="1:43" ht="80.099999999999994" customHeight="1">
      <c r="A9" s="126" t="str">
        <f>IF(D9="","",COUNTA($C$6:C9)-COUNTBLANK($C$6:C9)+1)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IF(D9="","",IF(OR(D9="교육지원과"),"소방재난본부",VLOOKUP(D9,구분표!$A$3:$C$258,3,)))</f>
        <v/>
      </c>
      <c r="D9" s="194"/>
      <c r="E9" s="181" t="s">
        <v>1694</v>
      </c>
      <c r="F9" s="350" t="str">
        <f t="shared" si="13"/>
        <v>직접입력</v>
      </c>
      <c r="G9" s="350" t="str">
        <f t="shared" si="13"/>
        <v>직접입력</v>
      </c>
      <c r="H9" s="181"/>
      <c r="I9" s="127" t="str">
        <f>IF(H9="","",VLOOKUP($H9,구분표!$K$3:$M$151,2,FALSE))</f>
        <v/>
      </c>
      <c r="J9" s="127" t="str">
        <f>IF(I9="","",VLOOKUP($H9,구분표!$K$3:$M$151,3,FALSE))</f>
        <v/>
      </c>
      <c r="K9" s="201"/>
      <c r="L9" s="201"/>
      <c r="M9" s="419" t="str">
        <f t="shared" si="14"/>
        <v>금액입력</v>
      </c>
      <c r="N9" s="419" t="str">
        <f t="shared" si="15"/>
        <v>금액입력</v>
      </c>
      <c r="O9" s="421">
        <f t="shared" si="16"/>
        <v>0</v>
      </c>
      <c r="P9" s="420"/>
      <c r="Q9" s="421">
        <f t="shared" si="17"/>
        <v>0</v>
      </c>
      <c r="R9" s="422"/>
      <c r="S9" s="423">
        <f t="shared" si="18"/>
        <v>0</v>
      </c>
      <c r="T9" s="133" t="str">
        <f t="shared" si="19"/>
        <v>X</v>
      </c>
      <c r="U9" s="201"/>
      <c r="V9" s="192"/>
      <c r="W9" s="185"/>
      <c r="X9" s="202"/>
      <c r="Y9" s="185"/>
      <c r="Z9" s="320" t="str">
        <f t="shared" si="20"/>
        <v/>
      </c>
      <c r="AA9" s="134"/>
      <c r="AB9" s="446" t="str">
        <f t="shared" si="3"/>
        <v/>
      </c>
      <c r="AC9" s="447">
        <f t="shared" si="21"/>
        <v>0</v>
      </c>
      <c r="AD9" s="320" t="str">
        <f t="shared" si="5"/>
        <v>OK</v>
      </c>
      <c r="AF9" s="462" t="str">
        <f t="shared" si="6"/>
        <v/>
      </c>
      <c r="AG9" s="463">
        <f t="shared" si="22"/>
        <v>0</v>
      </c>
      <c r="AH9" s="343" t="str">
        <f t="shared" si="8"/>
        <v>OK</v>
      </c>
      <c r="AI9" s="47"/>
      <c r="AJ9" s="189" t="str">
        <f t="shared" si="9"/>
        <v/>
      </c>
      <c r="AK9" s="320" t="str">
        <f t="shared" si="10"/>
        <v/>
      </c>
      <c r="AL9" s="320" t="str">
        <f t="shared" si="11"/>
        <v/>
      </c>
      <c r="AM9" s="320" t="str">
        <f t="shared" si="12"/>
        <v/>
      </c>
      <c r="AN9" s="320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45"/>
    </row>
    <row r="10" spans="1:43" ht="80.099999999999994" customHeight="1">
      <c r="A10" s="126" t="str">
        <f>IF(D10="","",COUNTA($C$6:C10)-COUNTBLANK($C$6:C10)+1)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IF(D10="","",IF(OR(D10="교육지원과"),"소방재난본부",VLOOKUP(D10,구분표!$A$3:$C$258,3,)))</f>
        <v/>
      </c>
      <c r="D10" s="194"/>
      <c r="E10" s="181" t="s">
        <v>1697</v>
      </c>
      <c r="F10" s="350" t="str">
        <f t="shared" si="13"/>
        <v>-</v>
      </c>
      <c r="G10" s="350" t="str">
        <f t="shared" si="13"/>
        <v>-</v>
      </c>
      <c r="H10" s="181"/>
      <c r="I10" s="127" t="str">
        <f>IF(H10="","",VLOOKUP($H10,구분표!$K$3:$M$151,2,FALSE))</f>
        <v/>
      </c>
      <c r="J10" s="127" t="str">
        <f>IF(I10="","",VLOOKUP($H10,구분표!$K$3:$M$151,3,FALSE))</f>
        <v/>
      </c>
      <c r="K10" s="201"/>
      <c r="L10" s="201"/>
      <c r="M10" s="419" t="str">
        <f t="shared" si="14"/>
        <v>-</v>
      </c>
      <c r="N10" s="419" t="str">
        <f t="shared" si="15"/>
        <v>-</v>
      </c>
      <c r="O10" s="421">
        <f t="shared" si="16"/>
        <v>0</v>
      </c>
      <c r="P10" s="420"/>
      <c r="Q10" s="421">
        <f t="shared" si="17"/>
        <v>0</v>
      </c>
      <c r="R10" s="422"/>
      <c r="S10" s="423">
        <f t="shared" si="18"/>
        <v>0</v>
      </c>
      <c r="T10" s="133" t="str">
        <f t="shared" si="19"/>
        <v>X</v>
      </c>
      <c r="U10" s="201"/>
      <c r="V10" s="192"/>
      <c r="W10" s="185"/>
      <c r="X10" s="202"/>
      <c r="Y10" s="185"/>
      <c r="Z10" s="320" t="str">
        <f t="shared" si="20"/>
        <v/>
      </c>
      <c r="AA10" s="134"/>
      <c r="AB10" s="446" t="str">
        <f t="shared" si="3"/>
        <v/>
      </c>
      <c r="AC10" s="447">
        <f t="shared" si="21"/>
        <v>0</v>
      </c>
      <c r="AD10" s="320" t="str">
        <f t="shared" si="5"/>
        <v>OK</v>
      </c>
      <c r="AF10" s="462" t="str">
        <f t="shared" si="6"/>
        <v/>
      </c>
      <c r="AG10" s="463">
        <f t="shared" si="22"/>
        <v>0</v>
      </c>
      <c r="AH10" s="343" t="str">
        <f t="shared" si="8"/>
        <v>OK</v>
      </c>
      <c r="AI10" s="47"/>
      <c r="AJ10" s="189" t="str">
        <f t="shared" si="9"/>
        <v/>
      </c>
      <c r="AK10" s="320" t="str">
        <f t="shared" si="10"/>
        <v/>
      </c>
      <c r="AL10" s="320" t="str">
        <f t="shared" si="11"/>
        <v/>
      </c>
      <c r="AM10" s="320" t="str">
        <f t="shared" si="12"/>
        <v/>
      </c>
      <c r="AN10" s="320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45"/>
    </row>
    <row r="11" spans="1:43" ht="60" customHeight="1">
      <c r="A11" s="144"/>
      <c r="B11" s="962" t="s">
        <v>259</v>
      </c>
      <c r="C11" s="962"/>
      <c r="D11" s="962"/>
      <c r="E11" s="962"/>
      <c r="F11" s="962"/>
      <c r="G11" s="962"/>
      <c r="H11" s="145"/>
      <c r="I11" s="145"/>
      <c r="J11" s="145"/>
      <c r="K11" s="145"/>
      <c r="L11" s="317" t="str">
        <f>SUBTOTAL(3,L12:L15)&amp;"건"</f>
        <v>0건</v>
      </c>
      <c r="M11" s="437">
        <f t="shared" ref="M11:S11" si="23">SUBTOTAL(9,M12:M15)</f>
        <v>0</v>
      </c>
      <c r="N11" s="437">
        <f t="shared" si="23"/>
        <v>0</v>
      </c>
      <c r="O11" s="437">
        <f t="shared" si="23"/>
        <v>0</v>
      </c>
      <c r="P11" s="437">
        <f t="shared" si="23"/>
        <v>0</v>
      </c>
      <c r="Q11" s="437">
        <f t="shared" si="23"/>
        <v>0</v>
      </c>
      <c r="R11" s="437">
        <f t="shared" si="23"/>
        <v>0</v>
      </c>
      <c r="S11" s="437">
        <f t="shared" si="23"/>
        <v>0</v>
      </c>
      <c r="T11" s="144"/>
      <c r="U11" s="146"/>
      <c r="V11" s="146"/>
      <c r="W11" s="147"/>
      <c r="X11" s="148"/>
      <c r="Y11" s="148"/>
      <c r="Z11" s="81"/>
      <c r="AA11" s="43"/>
      <c r="AB11" s="424">
        <f>SUBTOTAL(9,AB12:AB15)</f>
        <v>0</v>
      </c>
      <c r="AC11" s="424">
        <f>SUBTOTAL(9,AC12:AC15)</f>
        <v>0</v>
      </c>
      <c r="AD11" s="511" t="str">
        <f>IF(COUNTIF(AD12:AD15,"@@")&gt;0,"@@","OK")</f>
        <v>OK</v>
      </c>
      <c r="AF11" s="424">
        <f>SUBTOTAL(9,AF12:AF15)</f>
        <v>0</v>
      </c>
      <c r="AG11" s="424">
        <f>SUBTOTAL(9,AG12:AG15)</f>
        <v>0</v>
      </c>
      <c r="AH11" s="511" t="str">
        <f>IF(COUNTIF(AH12:AH15,"@@")&gt;0,"@@","OK")</f>
        <v>OK</v>
      </c>
      <c r="AI11" s="36"/>
      <c r="AJ11" s="81"/>
      <c r="AK11" s="81"/>
      <c r="AL11" s="511" t="str">
        <f>IF(COUNTIF(AL12:AL15,"@@")&gt;0,"@@","OK")</f>
        <v>OK</v>
      </c>
      <c r="AM11" s="81"/>
      <c r="AN11" s="511" t="str">
        <f>IF(COUNTIF(AN12:AN15,"@@")&gt;0,"@@","OK")</f>
        <v>OK</v>
      </c>
      <c r="AO11" s="36"/>
      <c r="AP11" s="81"/>
    </row>
    <row r="12" spans="1:43" ht="80.099999999999994" customHeight="1">
      <c r="A12" s="126" t="str">
        <f>IF(D12="","",COUNTA($C$6:C12)-COUNTBLANK($C$6:C12)+2)</f>
        <v/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27" t="str">
        <f>IF(D12="","",IF(OR(D12="교육지원과"),"소방재난본부",VLOOKUP(D12,구분표!$A$3:$C$258,3,)))</f>
        <v/>
      </c>
      <c r="D12" s="194"/>
      <c r="E12" s="181"/>
      <c r="F12" s="350" t="str">
        <f>IF($E12="","",IF($E12="2추","직접입력","-"))</f>
        <v/>
      </c>
      <c r="G12" s="350" t="str">
        <f>IF($E12="","",IF($E12="2추","직접입력","-"))</f>
        <v/>
      </c>
      <c r="H12" s="181"/>
      <c r="I12" s="127" t="str">
        <f>IF(H12="","",VLOOKUP($H12,구분표!$K$3:$M$151,2,FALSE))</f>
        <v/>
      </c>
      <c r="J12" s="127" t="str">
        <f>IF(I12="","",VLOOKUP($H12,구분표!$K$3:$M$151,3,FALSE))</f>
        <v/>
      </c>
      <c r="K12" s="201"/>
      <c r="L12" s="201"/>
      <c r="M12" s="419" t="str">
        <f>IF($E12="","",IF(OR($E12="2추", $E12="1추", $E12="본예산"), "금액입력", "-"))</f>
        <v/>
      </c>
      <c r="N12" s="419" t="str">
        <f>IF($E12="", "", IF($E12="2추","금액입력", "-"))</f>
        <v/>
      </c>
      <c r="O12" s="421" t="str">
        <f t="shared" ref="O12:O15" si="24">IF($E12="","",SUM(M12:N12))</f>
        <v/>
      </c>
      <c r="P12" s="420"/>
      <c r="Q12" s="421">
        <f t="shared" ref="Q12:Q15" si="25">SUM(O12:P12)</f>
        <v>0</v>
      </c>
      <c r="R12" s="422"/>
      <c r="S12" s="423">
        <f t="shared" ref="S12:S15" si="26">SUM(O12,R12)</f>
        <v>0</v>
      </c>
      <c r="T12" s="133" t="str">
        <f t="shared" ref="T12:T15" si="27">IF(AND((Q12=0),(S12&gt;0)),"O",IF(AND((P12&lt;0),(Q12-S12&lt;0)),"O","X"))</f>
        <v>X</v>
      </c>
      <c r="U12" s="201"/>
      <c r="V12" s="192"/>
      <c r="W12" s="185"/>
      <c r="X12" s="202"/>
      <c r="Y12" s="185"/>
      <c r="Z12" s="320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34"/>
      <c r="AB12" s="446" t="str">
        <f t="shared" si="3"/>
        <v/>
      </c>
      <c r="AC12" s="447">
        <f t="shared" ref="AC12:AC15" si="29">IFERROR(P12-AB12,0)</f>
        <v>0</v>
      </c>
      <c r="AD12" s="320" t="str">
        <f t="shared" si="5"/>
        <v>OK</v>
      </c>
      <c r="AF12" s="462" t="str">
        <f t="shared" si="6"/>
        <v/>
      </c>
      <c r="AG12" s="463">
        <f t="shared" ref="AG12:AG15" si="30">IFERROR(R12-AF12,0)</f>
        <v>0</v>
      </c>
      <c r="AH12" s="343" t="str">
        <f t="shared" si="8"/>
        <v>OK</v>
      </c>
      <c r="AI12" s="47"/>
      <c r="AJ12" s="189" t="str">
        <f t="shared" si="9"/>
        <v/>
      </c>
      <c r="AK12" s="320" t="str">
        <f t="shared" si="10"/>
        <v/>
      </c>
      <c r="AL12" s="320" t="str">
        <f t="shared" si="11"/>
        <v/>
      </c>
      <c r="AM12" s="320" t="str">
        <f t="shared" si="12"/>
        <v/>
      </c>
      <c r="AN12" s="320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45"/>
      <c r="AQ12" s="27"/>
    </row>
    <row r="13" spans="1:43" ht="80.099999999999994" customHeight="1">
      <c r="A13" s="126" t="str">
        <f>IF(D13="","",COUNTA($C$6:C13)-COUNTBLANK($C$6:C13)+2)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IF(D13="","",IF(OR(D13="교육지원과"),"소방재난본부",VLOOKUP(D13,구분표!$A$3:$C$258,3,)))</f>
        <v/>
      </c>
      <c r="D13" s="194"/>
      <c r="E13" s="181"/>
      <c r="F13" s="350" t="str">
        <f t="shared" ref="F13:G15" si="31">IF($E13="","",IF($E13="2추","직접입력","-"))</f>
        <v/>
      </c>
      <c r="G13" s="350" t="str">
        <f t="shared" si="31"/>
        <v/>
      </c>
      <c r="H13" s="181"/>
      <c r="I13" s="127" t="str">
        <f>IF(H13="","",VLOOKUP($H13,구분표!$K$3:$M$151,2,FALSE))</f>
        <v/>
      </c>
      <c r="J13" s="127" t="str">
        <f>IF(I13="","",VLOOKUP($H13,구분표!$K$3:$M$151,3,FALSE))</f>
        <v/>
      </c>
      <c r="K13" s="201"/>
      <c r="L13" s="201"/>
      <c r="M13" s="419" t="str">
        <f t="shared" ref="M13:M15" si="32">IF($E13="","",IF(OR($E13="2추", $E13="1추", $E13="본예산"), "금액입력", "-"))</f>
        <v/>
      </c>
      <c r="N13" s="419" t="str">
        <f t="shared" ref="N13:N15" si="33">IF($E13="", "", IF($E13="2추","금액입력", "-"))</f>
        <v/>
      </c>
      <c r="O13" s="421" t="str">
        <f t="shared" si="24"/>
        <v/>
      </c>
      <c r="P13" s="420"/>
      <c r="Q13" s="421">
        <f t="shared" si="25"/>
        <v>0</v>
      </c>
      <c r="R13" s="422"/>
      <c r="S13" s="423">
        <f t="shared" si="26"/>
        <v>0</v>
      </c>
      <c r="T13" s="133" t="str">
        <f t="shared" si="27"/>
        <v>X</v>
      </c>
      <c r="U13" s="201"/>
      <c r="V13" s="192"/>
      <c r="W13" s="185"/>
      <c r="X13" s="202"/>
      <c r="Y13" s="185"/>
      <c r="Z13" s="320" t="str">
        <f t="shared" si="28"/>
        <v/>
      </c>
      <c r="AA13" s="134"/>
      <c r="AB13" s="446" t="str">
        <f t="shared" si="3"/>
        <v/>
      </c>
      <c r="AC13" s="447">
        <f t="shared" si="29"/>
        <v>0</v>
      </c>
      <c r="AD13" s="320" t="str">
        <f t="shared" si="5"/>
        <v>OK</v>
      </c>
      <c r="AF13" s="462" t="str">
        <f t="shared" si="6"/>
        <v/>
      </c>
      <c r="AG13" s="463">
        <f t="shared" si="30"/>
        <v>0</v>
      </c>
      <c r="AH13" s="343" t="str">
        <f t="shared" si="8"/>
        <v>OK</v>
      </c>
      <c r="AI13" s="47"/>
      <c r="AJ13" s="189" t="str">
        <f t="shared" si="9"/>
        <v/>
      </c>
      <c r="AK13" s="320" t="str">
        <f t="shared" si="10"/>
        <v/>
      </c>
      <c r="AL13" s="320" t="str">
        <f t="shared" si="11"/>
        <v/>
      </c>
      <c r="AM13" s="320" t="str">
        <f t="shared" si="12"/>
        <v/>
      </c>
      <c r="AN13" s="320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45"/>
      <c r="AQ13" s="27"/>
    </row>
    <row r="14" spans="1:43" ht="80.099999999999994" customHeight="1">
      <c r="A14" s="126" t="str">
        <f>IF(D14="","",COUNTA($C$6:C14)-COUNTBLANK($C$6:C14)+2)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IF(D14="","",IF(OR(D14="교육지원과"),"소방재난본부",VLOOKUP(D14,구분표!$A$3:$C$258,3,)))</f>
        <v/>
      </c>
      <c r="D14" s="194"/>
      <c r="E14" s="181"/>
      <c r="F14" s="350" t="str">
        <f t="shared" si="31"/>
        <v/>
      </c>
      <c r="G14" s="350" t="str">
        <f t="shared" si="31"/>
        <v/>
      </c>
      <c r="H14" s="181"/>
      <c r="I14" s="127" t="str">
        <f>IF(H14="","",VLOOKUP($H14,구분표!$K$3:$M$151,2,FALSE))</f>
        <v/>
      </c>
      <c r="J14" s="127" t="str">
        <f>IF(I14="","",VLOOKUP($H14,구분표!$K$3:$M$151,3,FALSE))</f>
        <v/>
      </c>
      <c r="K14" s="201"/>
      <c r="L14" s="201"/>
      <c r="M14" s="419" t="str">
        <f t="shared" si="32"/>
        <v/>
      </c>
      <c r="N14" s="419" t="str">
        <f t="shared" si="33"/>
        <v/>
      </c>
      <c r="O14" s="421" t="str">
        <f t="shared" si="24"/>
        <v/>
      </c>
      <c r="P14" s="420"/>
      <c r="Q14" s="421">
        <f t="shared" si="25"/>
        <v>0</v>
      </c>
      <c r="R14" s="422"/>
      <c r="S14" s="423">
        <f t="shared" si="26"/>
        <v>0</v>
      </c>
      <c r="T14" s="133" t="str">
        <f t="shared" si="27"/>
        <v>X</v>
      </c>
      <c r="U14" s="201"/>
      <c r="V14" s="192"/>
      <c r="W14" s="185"/>
      <c r="X14" s="202"/>
      <c r="Y14" s="185"/>
      <c r="Z14" s="320" t="str">
        <f t="shared" si="28"/>
        <v/>
      </c>
      <c r="AA14" s="134"/>
      <c r="AB14" s="446" t="str">
        <f t="shared" si="3"/>
        <v/>
      </c>
      <c r="AC14" s="447">
        <f t="shared" si="29"/>
        <v>0</v>
      </c>
      <c r="AD14" s="320" t="str">
        <f t="shared" si="5"/>
        <v>OK</v>
      </c>
      <c r="AF14" s="462" t="str">
        <f t="shared" si="6"/>
        <v/>
      </c>
      <c r="AG14" s="463">
        <f t="shared" si="30"/>
        <v>0</v>
      </c>
      <c r="AH14" s="343" t="str">
        <f t="shared" si="8"/>
        <v>OK</v>
      </c>
      <c r="AI14" s="47"/>
      <c r="AJ14" s="189" t="str">
        <f t="shared" si="9"/>
        <v/>
      </c>
      <c r="AK14" s="320" t="str">
        <f t="shared" si="10"/>
        <v/>
      </c>
      <c r="AL14" s="320" t="str">
        <f t="shared" si="11"/>
        <v/>
      </c>
      <c r="AM14" s="320" t="str">
        <f t="shared" si="12"/>
        <v/>
      </c>
      <c r="AN14" s="320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45"/>
      <c r="AQ14" s="27"/>
    </row>
    <row r="15" spans="1:43" ht="80.099999999999994" customHeight="1">
      <c r="A15" s="126" t="str">
        <f>IF(D15="","",COUNTA($C$6:C15)-COUNTBLANK($C$6:C15)+2)</f>
        <v/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27" t="str">
        <f>IF(D15="","",IF(OR(D15="교육지원과"),"소방재난본부",VLOOKUP(D15,구분표!$A$3:$C$258,3,)))</f>
        <v/>
      </c>
      <c r="D15" s="194"/>
      <c r="E15" s="181"/>
      <c r="F15" s="350" t="str">
        <f t="shared" si="31"/>
        <v/>
      </c>
      <c r="G15" s="350" t="str">
        <f t="shared" si="31"/>
        <v/>
      </c>
      <c r="H15" s="181"/>
      <c r="I15" s="127" t="str">
        <f>IF(H15="","",VLOOKUP($H15,구분표!$K$3:$M$151,2,FALSE))</f>
        <v/>
      </c>
      <c r="J15" s="127" t="str">
        <f>IF(I15="","",VLOOKUP($H15,구분표!$K$3:$M$151,3,FALSE))</f>
        <v/>
      </c>
      <c r="K15" s="201"/>
      <c r="L15" s="201"/>
      <c r="M15" s="419" t="str">
        <f t="shared" si="32"/>
        <v/>
      </c>
      <c r="N15" s="419" t="str">
        <f t="shared" si="33"/>
        <v/>
      </c>
      <c r="O15" s="421" t="str">
        <f t="shared" si="24"/>
        <v/>
      </c>
      <c r="P15" s="420"/>
      <c r="Q15" s="421">
        <f t="shared" si="25"/>
        <v>0</v>
      </c>
      <c r="R15" s="422"/>
      <c r="S15" s="423">
        <f t="shared" si="26"/>
        <v>0</v>
      </c>
      <c r="T15" s="133" t="str">
        <f t="shared" si="27"/>
        <v>X</v>
      </c>
      <c r="U15" s="201"/>
      <c r="V15" s="192"/>
      <c r="W15" s="185"/>
      <c r="X15" s="202"/>
      <c r="Y15" s="185"/>
      <c r="Z15" s="320" t="str">
        <f t="shared" si="28"/>
        <v/>
      </c>
      <c r="AA15" s="134"/>
      <c r="AB15" s="446" t="str">
        <f t="shared" si="3"/>
        <v/>
      </c>
      <c r="AC15" s="447">
        <f t="shared" si="29"/>
        <v>0</v>
      </c>
      <c r="AD15" s="320" t="str">
        <f t="shared" si="5"/>
        <v>OK</v>
      </c>
      <c r="AF15" s="462" t="str">
        <f t="shared" si="6"/>
        <v/>
      </c>
      <c r="AG15" s="463">
        <f t="shared" si="30"/>
        <v>0</v>
      </c>
      <c r="AH15" s="343" t="str">
        <f t="shared" si="8"/>
        <v>OK</v>
      </c>
      <c r="AI15" s="47"/>
      <c r="AJ15" s="189" t="str">
        <f t="shared" si="9"/>
        <v/>
      </c>
      <c r="AK15" s="320" t="str">
        <f t="shared" si="10"/>
        <v/>
      </c>
      <c r="AL15" s="320" t="str">
        <f t="shared" si="11"/>
        <v/>
      </c>
      <c r="AM15" s="320" t="str">
        <f t="shared" si="12"/>
        <v/>
      </c>
      <c r="AN15" s="320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45"/>
      <c r="AQ15" s="27"/>
    </row>
    <row r="16" spans="1:43" ht="60" customHeight="1">
      <c r="A16" s="144"/>
      <c r="B16" s="962" t="s">
        <v>763</v>
      </c>
      <c r="C16" s="962"/>
      <c r="D16" s="962"/>
      <c r="E16" s="962"/>
      <c r="F16" s="962"/>
      <c r="G16" s="962"/>
      <c r="H16" s="145"/>
      <c r="I16" s="145"/>
      <c r="J16" s="145"/>
      <c r="K16" s="145"/>
      <c r="L16" s="317" t="str">
        <f>SUBTOTAL(3,L17:L20)&amp;"건"</f>
        <v>0건</v>
      </c>
      <c r="M16" s="437">
        <f t="shared" ref="M16:S16" si="34">SUBTOTAL(9,M17:M20)</f>
        <v>0</v>
      </c>
      <c r="N16" s="437">
        <f t="shared" si="34"/>
        <v>0</v>
      </c>
      <c r="O16" s="437">
        <f t="shared" si="34"/>
        <v>0</v>
      </c>
      <c r="P16" s="437">
        <f t="shared" si="34"/>
        <v>0</v>
      </c>
      <c r="Q16" s="437">
        <f t="shared" si="34"/>
        <v>0</v>
      </c>
      <c r="R16" s="437">
        <f t="shared" si="34"/>
        <v>0</v>
      </c>
      <c r="S16" s="437">
        <f t="shared" si="34"/>
        <v>0</v>
      </c>
      <c r="T16" s="144"/>
      <c r="U16" s="146"/>
      <c r="V16" s="146"/>
      <c r="W16" s="147"/>
      <c r="X16" s="148"/>
      <c r="Y16" s="148"/>
      <c r="Z16" s="81"/>
      <c r="AA16" s="43"/>
      <c r="AB16" s="424">
        <f>SUBTOTAL(9,AB17:AB20)</f>
        <v>0</v>
      </c>
      <c r="AC16" s="424">
        <f>SUBTOTAL(9,AC17:AC20)</f>
        <v>0</v>
      </c>
      <c r="AD16" s="511" t="str">
        <f>IF(COUNTIF(AD17:AD20,"@@")&gt;0,"@@","OK")</f>
        <v>OK</v>
      </c>
      <c r="AF16" s="424">
        <f>SUBTOTAL(9,AF17:AF20)</f>
        <v>0</v>
      </c>
      <c r="AG16" s="424">
        <f>SUBTOTAL(9,AG17:AG20)</f>
        <v>0</v>
      </c>
      <c r="AH16" s="511" t="str">
        <f>IF(COUNTIF(AH17:AH20,"@@")&gt;0,"@@","OK")</f>
        <v>OK</v>
      </c>
      <c r="AI16" s="36"/>
      <c r="AJ16" s="81"/>
      <c r="AK16" s="81"/>
      <c r="AL16" s="511" t="str">
        <f>IF(COUNTIF(AL17:AL20,"@@")&gt;0,"@@","OK")</f>
        <v>OK</v>
      </c>
      <c r="AM16" s="81"/>
      <c r="AN16" s="511" t="str">
        <f>IF(COUNTIF(AN17:AN20,"@@")&gt;0,"@@","OK")</f>
        <v>OK</v>
      </c>
      <c r="AO16" s="36"/>
      <c r="AP16" s="81"/>
    </row>
    <row r="17" spans="1:43" ht="80.099999999999994" customHeight="1">
      <c r="A17" s="126" t="str">
        <f>IF(D17="","",COUNTA($C$6:C17)-COUNTBLANK($C$6:C17)+3)</f>
        <v/>
      </c>
      <c r="B17" s="127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27" t="str">
        <f>IF(D17="","",IF(OR(D17="교육지원과"),"소방재난본부",VLOOKUP(D17,구분표!$A$3:$C$258,3,)))</f>
        <v/>
      </c>
      <c r="D17" s="194"/>
      <c r="E17" s="181"/>
      <c r="F17" s="350" t="str">
        <f>IF($E17="","",IF($E17="2추","직접입력","-"))</f>
        <v/>
      </c>
      <c r="G17" s="350" t="str">
        <f>IF($E17="","",IF($E17="2추","직접입력","-"))</f>
        <v/>
      </c>
      <c r="H17" s="181"/>
      <c r="I17" s="127" t="str">
        <f>IF(H17="","",VLOOKUP($H17,구분표!$K$3:$M$151,2,FALSE))</f>
        <v/>
      </c>
      <c r="J17" s="127" t="str">
        <f>IF(I17="","",VLOOKUP($H17,구분표!$K$3:$M$151,3,FALSE))</f>
        <v/>
      </c>
      <c r="K17" s="201"/>
      <c r="L17" s="201"/>
      <c r="M17" s="419" t="str">
        <f>IF($E17="","",IF(OR($E17="2추", $E17="1추", $E17="본예산"), "금액입력", "-"))</f>
        <v/>
      </c>
      <c r="N17" s="419" t="str">
        <f>IF($E17="", "", IF($E17="2추","금액입력", "-"))</f>
        <v/>
      </c>
      <c r="O17" s="421" t="str">
        <f t="shared" ref="O17:O20" si="35">IF($E17="","",SUM(M17:N17))</f>
        <v/>
      </c>
      <c r="P17" s="420"/>
      <c r="Q17" s="421">
        <f t="shared" ref="Q17:Q20" si="36">SUM(O17:P17)</f>
        <v>0</v>
      </c>
      <c r="R17" s="422"/>
      <c r="S17" s="423">
        <f t="shared" ref="S17:S20" si="37">SUM(O17,R17)</f>
        <v>0</v>
      </c>
      <c r="T17" s="133" t="str">
        <f t="shared" ref="T17:T20" si="38">IF(AND((Q17=0),(S17&gt;0)),"O",IF(AND((P17&lt;0),(Q17-S17&lt;0)),"O","X"))</f>
        <v>X</v>
      </c>
      <c r="U17" s="201"/>
      <c r="V17" s="192"/>
      <c r="W17" s="185"/>
      <c r="X17" s="202"/>
      <c r="Y17" s="185"/>
      <c r="Z17" s="320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34"/>
      <c r="AB17" s="446" t="str">
        <f t="shared" si="3"/>
        <v/>
      </c>
      <c r="AC17" s="447">
        <f t="shared" ref="AC17:AC20" si="40">IFERROR(P17-AB17,0)</f>
        <v>0</v>
      </c>
      <c r="AD17" s="320" t="str">
        <f t="shared" si="5"/>
        <v>OK</v>
      </c>
      <c r="AF17" s="462" t="str">
        <f t="shared" si="6"/>
        <v/>
      </c>
      <c r="AG17" s="463">
        <f t="shared" ref="AG17:AG20" si="41">IFERROR(R17-AF17,0)</f>
        <v>0</v>
      </c>
      <c r="AH17" s="343" t="str">
        <f t="shared" si="8"/>
        <v>OK</v>
      </c>
      <c r="AI17" s="47"/>
      <c r="AJ17" s="189" t="str">
        <f t="shared" si="9"/>
        <v/>
      </c>
      <c r="AK17" s="320" t="str">
        <f t="shared" si="10"/>
        <v/>
      </c>
      <c r="AL17" s="320" t="str">
        <f t="shared" si="11"/>
        <v/>
      </c>
      <c r="AM17" s="320" t="str">
        <f t="shared" si="12"/>
        <v/>
      </c>
      <c r="AN17" s="320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45"/>
      <c r="AQ17" s="27"/>
    </row>
    <row r="18" spans="1:43" ht="80.099999999999994" customHeight="1">
      <c r="A18" s="126" t="str">
        <f>IF(D18="","",COUNTA($C$6:C18)-COUNTBLANK($C$6:C18)+3)</f>
        <v/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27" t="str">
        <f>IF(D18="","",IF(OR(D18="교육지원과"),"소방재난본부",VLOOKUP(D18,구분표!$A$3:$C$258,3,)))</f>
        <v/>
      </c>
      <c r="D18" s="194"/>
      <c r="E18" s="181"/>
      <c r="F18" s="350" t="str">
        <f t="shared" ref="F18:G20" si="42">IF($E18="","",IF($E18="2추","직접입력","-"))</f>
        <v/>
      </c>
      <c r="G18" s="350" t="str">
        <f t="shared" si="42"/>
        <v/>
      </c>
      <c r="H18" s="181"/>
      <c r="I18" s="127" t="str">
        <f>IF(H18="","",VLOOKUP($H18,구분표!$K$3:$M$151,2,FALSE))</f>
        <v/>
      </c>
      <c r="J18" s="127" t="str">
        <f>IF(I18="","",VLOOKUP($H18,구분표!$K$3:$M$151,3,FALSE))</f>
        <v/>
      </c>
      <c r="K18" s="201"/>
      <c r="L18" s="201"/>
      <c r="M18" s="419" t="str">
        <f t="shared" ref="M18:M20" si="43">IF($E18="","",IF(OR($E18="2추", $E18="1추", $E18="본예산"), "금액입력", "-"))</f>
        <v/>
      </c>
      <c r="N18" s="419" t="str">
        <f t="shared" ref="N18:N20" si="44">IF($E18="", "", IF($E18="2추","금액입력", "-"))</f>
        <v/>
      </c>
      <c r="O18" s="421" t="str">
        <f t="shared" si="35"/>
        <v/>
      </c>
      <c r="P18" s="420"/>
      <c r="Q18" s="421">
        <f t="shared" si="36"/>
        <v>0</v>
      </c>
      <c r="R18" s="422"/>
      <c r="S18" s="423">
        <f t="shared" si="37"/>
        <v>0</v>
      </c>
      <c r="T18" s="133" t="str">
        <f t="shared" si="38"/>
        <v>X</v>
      </c>
      <c r="U18" s="201"/>
      <c r="V18" s="192"/>
      <c r="W18" s="185"/>
      <c r="X18" s="202"/>
      <c r="Y18" s="185"/>
      <c r="Z18" s="320" t="str">
        <f t="shared" si="39"/>
        <v/>
      </c>
      <c r="AA18" s="134"/>
      <c r="AB18" s="446" t="str">
        <f t="shared" si="3"/>
        <v/>
      </c>
      <c r="AC18" s="447">
        <f t="shared" si="40"/>
        <v>0</v>
      </c>
      <c r="AD18" s="320" t="str">
        <f t="shared" si="5"/>
        <v>OK</v>
      </c>
      <c r="AF18" s="462" t="str">
        <f t="shared" si="6"/>
        <v/>
      </c>
      <c r="AG18" s="463">
        <f t="shared" si="41"/>
        <v>0</v>
      </c>
      <c r="AH18" s="343" t="str">
        <f t="shared" si="8"/>
        <v>OK</v>
      </c>
      <c r="AI18" s="47"/>
      <c r="AJ18" s="189" t="str">
        <f t="shared" si="9"/>
        <v/>
      </c>
      <c r="AK18" s="320" t="str">
        <f t="shared" si="10"/>
        <v/>
      </c>
      <c r="AL18" s="320" t="str">
        <f t="shared" si="11"/>
        <v/>
      </c>
      <c r="AM18" s="320" t="str">
        <f t="shared" si="12"/>
        <v/>
      </c>
      <c r="AN18" s="320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45"/>
      <c r="AQ18" s="27"/>
    </row>
    <row r="19" spans="1:43" ht="80.099999999999994" customHeight="1">
      <c r="A19" s="126" t="str">
        <f>IF(D19="","",COUNTA($C$6:C19)-COUNTBLANK($C$6:C19)+3)</f>
        <v/>
      </c>
      <c r="B19" s="127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27" t="str">
        <f>IF(D19="","",IF(OR(D19="교육지원과"),"소방재난본부",VLOOKUP(D19,구분표!$A$3:$C$258,3,)))</f>
        <v/>
      </c>
      <c r="D19" s="194"/>
      <c r="E19" s="181"/>
      <c r="F19" s="350" t="str">
        <f t="shared" si="42"/>
        <v/>
      </c>
      <c r="G19" s="350" t="str">
        <f t="shared" si="42"/>
        <v/>
      </c>
      <c r="H19" s="181"/>
      <c r="I19" s="127" t="str">
        <f>IF(H19="","",VLOOKUP($H19,구분표!$K$3:$M$151,2,FALSE))</f>
        <v/>
      </c>
      <c r="J19" s="127" t="str">
        <f>IF(I19="","",VLOOKUP($H19,구분표!$K$3:$M$151,3,FALSE))</f>
        <v/>
      </c>
      <c r="K19" s="201"/>
      <c r="L19" s="201"/>
      <c r="M19" s="419" t="str">
        <f t="shared" si="43"/>
        <v/>
      </c>
      <c r="N19" s="419" t="str">
        <f t="shared" si="44"/>
        <v/>
      </c>
      <c r="O19" s="421" t="str">
        <f t="shared" si="35"/>
        <v/>
      </c>
      <c r="P19" s="420"/>
      <c r="Q19" s="421">
        <f t="shared" si="36"/>
        <v>0</v>
      </c>
      <c r="R19" s="422"/>
      <c r="S19" s="423">
        <f t="shared" si="37"/>
        <v>0</v>
      </c>
      <c r="T19" s="133" t="str">
        <f t="shared" si="38"/>
        <v>X</v>
      </c>
      <c r="U19" s="201"/>
      <c r="V19" s="192"/>
      <c r="W19" s="185"/>
      <c r="X19" s="202"/>
      <c r="Y19" s="185"/>
      <c r="Z19" s="320" t="str">
        <f t="shared" si="39"/>
        <v/>
      </c>
      <c r="AA19" s="134"/>
      <c r="AB19" s="446" t="str">
        <f t="shared" si="3"/>
        <v/>
      </c>
      <c r="AC19" s="447">
        <f t="shared" si="40"/>
        <v>0</v>
      </c>
      <c r="AD19" s="320" t="str">
        <f t="shared" si="5"/>
        <v>OK</v>
      </c>
      <c r="AF19" s="462" t="str">
        <f t="shared" si="6"/>
        <v/>
      </c>
      <c r="AG19" s="463">
        <f t="shared" si="41"/>
        <v>0</v>
      </c>
      <c r="AH19" s="343" t="str">
        <f t="shared" si="8"/>
        <v>OK</v>
      </c>
      <c r="AI19" s="47"/>
      <c r="AJ19" s="189" t="str">
        <f t="shared" si="9"/>
        <v/>
      </c>
      <c r="AK19" s="320" t="str">
        <f t="shared" si="10"/>
        <v/>
      </c>
      <c r="AL19" s="320" t="str">
        <f t="shared" si="11"/>
        <v/>
      </c>
      <c r="AM19" s="320" t="str">
        <f t="shared" si="12"/>
        <v/>
      </c>
      <c r="AN19" s="320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45"/>
    </row>
    <row r="20" spans="1:43" ht="80.099999999999994" customHeight="1">
      <c r="A20" s="126" t="str">
        <f>IF(D20="","",COUNTA($C$6:C20)-COUNTBLANK($C$6:C20)+3)</f>
        <v/>
      </c>
      <c r="B20" s="127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27" t="str">
        <f>IF(D20="","",IF(OR(D20="교육지원과"),"소방재난본부",VLOOKUP(D20,구분표!$A$3:$C$258,3,)))</f>
        <v/>
      </c>
      <c r="D20" s="194"/>
      <c r="E20" s="181"/>
      <c r="F20" s="350" t="str">
        <f t="shared" si="42"/>
        <v/>
      </c>
      <c r="G20" s="350" t="str">
        <f t="shared" si="42"/>
        <v/>
      </c>
      <c r="H20" s="181"/>
      <c r="I20" s="127" t="str">
        <f>IF(H20="","",VLOOKUP($H20,구분표!$K$3:$M$151,2,FALSE))</f>
        <v/>
      </c>
      <c r="J20" s="127" t="str">
        <f>IF(I20="","",VLOOKUP($H20,구분표!$K$3:$M$151,3,FALSE))</f>
        <v/>
      </c>
      <c r="K20" s="201"/>
      <c r="L20" s="201"/>
      <c r="M20" s="419" t="str">
        <f t="shared" si="43"/>
        <v/>
      </c>
      <c r="N20" s="419" t="str">
        <f t="shared" si="44"/>
        <v/>
      </c>
      <c r="O20" s="421" t="str">
        <f t="shared" si="35"/>
        <v/>
      </c>
      <c r="P20" s="420"/>
      <c r="Q20" s="421">
        <f t="shared" si="36"/>
        <v>0</v>
      </c>
      <c r="R20" s="422"/>
      <c r="S20" s="423">
        <f t="shared" si="37"/>
        <v>0</v>
      </c>
      <c r="T20" s="133" t="str">
        <f t="shared" si="38"/>
        <v>X</v>
      </c>
      <c r="U20" s="201"/>
      <c r="V20" s="192"/>
      <c r="W20" s="185"/>
      <c r="X20" s="202"/>
      <c r="Y20" s="185"/>
      <c r="Z20" s="320" t="str">
        <f t="shared" si="39"/>
        <v/>
      </c>
      <c r="AA20" s="134"/>
      <c r="AB20" s="446" t="str">
        <f t="shared" si="3"/>
        <v/>
      </c>
      <c r="AC20" s="447">
        <f t="shared" si="40"/>
        <v>0</v>
      </c>
      <c r="AD20" s="320" t="str">
        <f t="shared" si="5"/>
        <v>OK</v>
      </c>
      <c r="AF20" s="462" t="str">
        <f t="shared" si="6"/>
        <v/>
      </c>
      <c r="AG20" s="463">
        <f t="shared" si="41"/>
        <v>0</v>
      </c>
      <c r="AH20" s="343" t="str">
        <f t="shared" si="8"/>
        <v>OK</v>
      </c>
      <c r="AI20" s="47"/>
      <c r="AJ20" s="189" t="str">
        <f t="shared" si="9"/>
        <v/>
      </c>
      <c r="AK20" s="320" t="str">
        <f t="shared" si="10"/>
        <v/>
      </c>
      <c r="AL20" s="320" t="str">
        <f t="shared" si="11"/>
        <v/>
      </c>
      <c r="AM20" s="320" t="str">
        <f t="shared" si="12"/>
        <v/>
      </c>
      <c r="AN20" s="320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45"/>
    </row>
    <row r="21" spans="1:43" ht="60" customHeight="1">
      <c r="A21" s="144"/>
      <c r="B21" s="962" t="s">
        <v>764</v>
      </c>
      <c r="C21" s="962"/>
      <c r="D21" s="962"/>
      <c r="E21" s="962"/>
      <c r="F21" s="962"/>
      <c r="G21" s="962"/>
      <c r="H21" s="145"/>
      <c r="I21" s="145"/>
      <c r="J21" s="145"/>
      <c r="K21" s="145"/>
      <c r="L21" s="317" t="str">
        <f>SUBTOTAL(3,L22:L25)&amp;"건"</f>
        <v>0건</v>
      </c>
      <c r="M21" s="437">
        <f t="shared" ref="M21:S21" si="45">SUBTOTAL(9,M22:M25)</f>
        <v>0</v>
      </c>
      <c r="N21" s="437">
        <f t="shared" si="45"/>
        <v>0</v>
      </c>
      <c r="O21" s="437">
        <f t="shared" si="45"/>
        <v>0</v>
      </c>
      <c r="P21" s="437">
        <f t="shared" si="45"/>
        <v>0</v>
      </c>
      <c r="Q21" s="437">
        <f t="shared" si="45"/>
        <v>0</v>
      </c>
      <c r="R21" s="437">
        <f t="shared" si="45"/>
        <v>0</v>
      </c>
      <c r="S21" s="437">
        <f t="shared" si="45"/>
        <v>0</v>
      </c>
      <c r="T21" s="144"/>
      <c r="U21" s="146"/>
      <c r="V21" s="146"/>
      <c r="W21" s="147"/>
      <c r="X21" s="148"/>
      <c r="Y21" s="148"/>
      <c r="Z21" s="81"/>
      <c r="AA21" s="43"/>
      <c r="AB21" s="424">
        <f>SUBTOTAL(9,AB22:AB25)</f>
        <v>0</v>
      </c>
      <c r="AC21" s="424">
        <f>SUBTOTAL(9,AC22:AC25)</f>
        <v>0</v>
      </c>
      <c r="AD21" s="511" t="str">
        <f>IF(COUNTIF(AD22:AD25,"@@")&gt;0,"@@","OK")</f>
        <v>OK</v>
      </c>
      <c r="AF21" s="424">
        <f>SUBTOTAL(9,AF22:AF25)</f>
        <v>0</v>
      </c>
      <c r="AG21" s="424">
        <f>SUBTOTAL(9,AG22:AG25)</f>
        <v>0</v>
      </c>
      <c r="AH21" s="511" t="str">
        <f>IF(COUNTIF(AH22:AH25,"@@")&gt;0,"@@","OK")</f>
        <v>OK</v>
      </c>
      <c r="AI21" s="36"/>
      <c r="AJ21" s="81"/>
      <c r="AK21" s="81"/>
      <c r="AL21" s="511" t="str">
        <f>IF(COUNTIF(AL22:AL25,"@@")&gt;0,"@@","OK")</f>
        <v>OK</v>
      </c>
      <c r="AM21" s="81"/>
      <c r="AN21" s="511" t="str">
        <f>IF(COUNTIF(AN22:AN25,"@@")&gt;0,"@@","OK")</f>
        <v>OK</v>
      </c>
      <c r="AO21" s="36"/>
      <c r="AP21" s="81"/>
    </row>
    <row r="22" spans="1:43" ht="80.099999999999994" customHeight="1">
      <c r="A22" s="126" t="str">
        <f>IF(D22="","",COUNTA($C$6:C22)-COUNTBLANK($C$6:C22)+4)</f>
        <v/>
      </c>
      <c r="B22" s="127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27" t="str">
        <f>IF(D22="","",IF(OR(D22="교육지원과"),"소방재난본부",VLOOKUP(D22,구분표!$A$3:$C$258,3,)))</f>
        <v/>
      </c>
      <c r="D22" s="194"/>
      <c r="E22" s="181"/>
      <c r="F22" s="350" t="str">
        <f>IF($E22="","",IF($E22="2추","직접입력","-"))</f>
        <v/>
      </c>
      <c r="G22" s="350" t="str">
        <f>IF($E22="","",IF($E22="2추","직접입력","-"))</f>
        <v/>
      </c>
      <c r="H22" s="181"/>
      <c r="I22" s="127" t="str">
        <f>IF(H22="","",VLOOKUP($H22,구분표!$K$3:$M$151,2,FALSE))</f>
        <v/>
      </c>
      <c r="J22" s="127" t="str">
        <f>IF(I22="","",VLOOKUP($H22,구분표!$K$3:$M$151,3,FALSE))</f>
        <v/>
      </c>
      <c r="K22" s="201"/>
      <c r="L22" s="201"/>
      <c r="M22" s="419" t="str">
        <f>IF($E22="","",IF(OR($E22="2추", $E22="1추", $E22="본예산"), "금액입력", "-"))</f>
        <v/>
      </c>
      <c r="N22" s="419" t="str">
        <f>IF($E22="", "", IF($E22="2추","금액입력", "-"))</f>
        <v/>
      </c>
      <c r="O22" s="421" t="str">
        <f t="shared" ref="O22:O25" si="46">IF($E22="","",SUM(M22:N22))</f>
        <v/>
      </c>
      <c r="P22" s="420"/>
      <c r="Q22" s="421">
        <f t="shared" ref="Q22:Q25" si="47">SUM(O22:P22)</f>
        <v>0</v>
      </c>
      <c r="R22" s="422"/>
      <c r="S22" s="423">
        <f t="shared" ref="S22:S25" si="48">SUM(O22,R22)</f>
        <v>0</v>
      </c>
      <c r="T22" s="133" t="str">
        <f t="shared" ref="T22:T25" si="49">IF(AND((Q22=0),(S22&gt;0)),"O",IF(AND((P22&lt;0),(Q22-S22&lt;0)),"O","X"))</f>
        <v>X</v>
      </c>
      <c r="U22" s="201"/>
      <c r="V22" s="192"/>
      <c r="W22" s="185"/>
      <c r="X22" s="202"/>
      <c r="Y22" s="185"/>
      <c r="Z22" s="320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34"/>
      <c r="AB22" s="446" t="str">
        <f t="shared" si="3"/>
        <v/>
      </c>
      <c r="AC22" s="447">
        <f t="shared" ref="AC22:AC25" si="51">IFERROR(P22-AB22,0)</f>
        <v>0</v>
      </c>
      <c r="AD22" s="320" t="str">
        <f t="shared" si="5"/>
        <v>OK</v>
      </c>
      <c r="AF22" s="462" t="str">
        <f t="shared" si="6"/>
        <v/>
      </c>
      <c r="AG22" s="463">
        <f t="shared" ref="AG22:AG25" si="52">IFERROR(R22-AF22,0)</f>
        <v>0</v>
      </c>
      <c r="AH22" s="343" t="str">
        <f t="shared" si="8"/>
        <v>OK</v>
      </c>
      <c r="AI22" s="47"/>
      <c r="AJ22" s="189" t="str">
        <f t="shared" si="9"/>
        <v/>
      </c>
      <c r="AK22" s="320" t="str">
        <f t="shared" si="10"/>
        <v/>
      </c>
      <c r="AL22" s="320" t="str">
        <f t="shared" si="11"/>
        <v/>
      </c>
      <c r="AM22" s="320" t="str">
        <f t="shared" si="12"/>
        <v/>
      </c>
      <c r="AN22" s="320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45"/>
      <c r="AQ22" s="27"/>
    </row>
    <row r="23" spans="1:43" ht="80.099999999999994" customHeight="1">
      <c r="A23" s="126" t="str">
        <f>IF(D23="","",COUNTA($C$6:C23)-COUNTBLANK($C$6:C23)+4)</f>
        <v/>
      </c>
      <c r="B23" s="127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27" t="str">
        <f>IF(D23="","",IF(OR(D23="교육지원과"),"소방재난본부",VLOOKUP(D23,구분표!$A$3:$C$258,3,)))</f>
        <v/>
      </c>
      <c r="D23" s="194"/>
      <c r="E23" s="181"/>
      <c r="F23" s="350" t="str">
        <f t="shared" ref="F23:G25" si="53">IF($E23="","",IF($E23="2추","직접입력","-"))</f>
        <v/>
      </c>
      <c r="G23" s="350" t="str">
        <f t="shared" si="53"/>
        <v/>
      </c>
      <c r="H23" s="181"/>
      <c r="I23" s="127" t="str">
        <f>IF(H23="","",VLOOKUP($H23,구분표!$K$3:$M$151,2,FALSE))</f>
        <v/>
      </c>
      <c r="J23" s="127" t="str">
        <f>IF(I23="","",VLOOKUP($H23,구분표!$K$3:$M$151,3,FALSE))</f>
        <v/>
      </c>
      <c r="K23" s="201"/>
      <c r="L23" s="201"/>
      <c r="M23" s="419" t="str">
        <f t="shared" ref="M23:M25" si="54">IF($E23="","",IF(OR($E23="2추", $E23="1추", $E23="본예산"), "금액입력", "-"))</f>
        <v/>
      </c>
      <c r="N23" s="419" t="str">
        <f t="shared" ref="N23:N25" si="55">IF($E23="", "", IF($E23="2추","금액입력", "-"))</f>
        <v/>
      </c>
      <c r="O23" s="421" t="str">
        <f t="shared" si="46"/>
        <v/>
      </c>
      <c r="P23" s="420"/>
      <c r="Q23" s="421">
        <f t="shared" si="47"/>
        <v>0</v>
      </c>
      <c r="R23" s="422"/>
      <c r="S23" s="423">
        <f t="shared" si="48"/>
        <v>0</v>
      </c>
      <c r="T23" s="133" t="str">
        <f t="shared" si="49"/>
        <v>X</v>
      </c>
      <c r="U23" s="201"/>
      <c r="V23" s="192"/>
      <c r="W23" s="185"/>
      <c r="X23" s="202"/>
      <c r="Y23" s="185"/>
      <c r="Z23" s="320" t="str">
        <f t="shared" si="50"/>
        <v/>
      </c>
      <c r="AA23" s="134"/>
      <c r="AB23" s="446" t="str">
        <f t="shared" si="3"/>
        <v/>
      </c>
      <c r="AC23" s="447">
        <f t="shared" si="51"/>
        <v>0</v>
      </c>
      <c r="AD23" s="320" t="str">
        <f t="shared" si="5"/>
        <v>OK</v>
      </c>
      <c r="AF23" s="462" t="str">
        <f t="shared" si="6"/>
        <v/>
      </c>
      <c r="AG23" s="463">
        <f t="shared" si="52"/>
        <v>0</v>
      </c>
      <c r="AH23" s="343" t="str">
        <f t="shared" si="8"/>
        <v>OK</v>
      </c>
      <c r="AI23" s="47"/>
      <c r="AJ23" s="189" t="str">
        <f t="shared" si="9"/>
        <v/>
      </c>
      <c r="AK23" s="320" t="str">
        <f t="shared" si="10"/>
        <v/>
      </c>
      <c r="AL23" s="320" t="str">
        <f t="shared" si="11"/>
        <v/>
      </c>
      <c r="AM23" s="320" t="str">
        <f t="shared" si="12"/>
        <v/>
      </c>
      <c r="AN23" s="320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45"/>
      <c r="AQ23" s="27"/>
    </row>
    <row r="24" spans="1:43" ht="80.099999999999994" customHeight="1">
      <c r="A24" s="126" t="str">
        <f>IF(D24="","",COUNTA($C$6:C24)-COUNTBLANK($C$6:C24)+4)</f>
        <v/>
      </c>
      <c r="B24" s="127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27" t="str">
        <f>IF(D24="","",IF(OR(D24="교육지원과"),"소방재난본부",VLOOKUP(D24,구분표!$A$3:$C$258,3,)))</f>
        <v/>
      </c>
      <c r="D24" s="194"/>
      <c r="E24" s="181"/>
      <c r="F24" s="350" t="str">
        <f t="shared" si="53"/>
        <v/>
      </c>
      <c r="G24" s="350" t="str">
        <f t="shared" si="53"/>
        <v/>
      </c>
      <c r="H24" s="181"/>
      <c r="I24" s="127" t="str">
        <f>IF(H24="","",VLOOKUP($H24,구분표!$K$3:$M$151,2,FALSE))</f>
        <v/>
      </c>
      <c r="J24" s="127" t="str">
        <f>IF(I24="","",VLOOKUP($H24,구분표!$K$3:$M$151,3,FALSE))</f>
        <v/>
      </c>
      <c r="K24" s="201"/>
      <c r="L24" s="201"/>
      <c r="M24" s="419" t="str">
        <f t="shared" si="54"/>
        <v/>
      </c>
      <c r="N24" s="419" t="str">
        <f t="shared" si="55"/>
        <v/>
      </c>
      <c r="O24" s="421" t="str">
        <f t="shared" si="46"/>
        <v/>
      </c>
      <c r="P24" s="420"/>
      <c r="Q24" s="421">
        <f t="shared" si="47"/>
        <v>0</v>
      </c>
      <c r="R24" s="422"/>
      <c r="S24" s="423">
        <f t="shared" si="48"/>
        <v>0</v>
      </c>
      <c r="T24" s="133" t="str">
        <f t="shared" si="49"/>
        <v>X</v>
      </c>
      <c r="U24" s="201"/>
      <c r="V24" s="192"/>
      <c r="W24" s="185"/>
      <c r="X24" s="202"/>
      <c r="Y24" s="185"/>
      <c r="Z24" s="320" t="str">
        <f t="shared" si="50"/>
        <v/>
      </c>
      <c r="AA24" s="134"/>
      <c r="AB24" s="446" t="str">
        <f t="shared" si="3"/>
        <v/>
      </c>
      <c r="AC24" s="447">
        <f t="shared" si="51"/>
        <v>0</v>
      </c>
      <c r="AD24" s="320" t="str">
        <f t="shared" si="5"/>
        <v>OK</v>
      </c>
      <c r="AF24" s="462" t="str">
        <f t="shared" si="6"/>
        <v/>
      </c>
      <c r="AG24" s="463">
        <f t="shared" si="52"/>
        <v>0</v>
      </c>
      <c r="AH24" s="343" t="str">
        <f t="shared" si="8"/>
        <v>OK</v>
      </c>
      <c r="AI24" s="47"/>
      <c r="AJ24" s="189" t="str">
        <f t="shared" si="9"/>
        <v/>
      </c>
      <c r="AK24" s="320" t="str">
        <f t="shared" si="10"/>
        <v/>
      </c>
      <c r="AL24" s="320" t="str">
        <f t="shared" si="11"/>
        <v/>
      </c>
      <c r="AM24" s="320" t="str">
        <f t="shared" si="12"/>
        <v/>
      </c>
      <c r="AN24" s="320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45"/>
    </row>
    <row r="25" spans="1:43" ht="80.099999999999994" customHeight="1">
      <c r="A25" s="126" t="str">
        <f>IF(D25="","",COUNTA($C$6:C25)-COUNTBLANK($C$6:C25)+4)</f>
        <v/>
      </c>
      <c r="B25" s="127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27" t="str">
        <f>IF(D25="","",IF(OR(D25="교육지원과"),"소방재난본부",VLOOKUP(D25,구분표!$A$3:$C$258,3,)))</f>
        <v/>
      </c>
      <c r="D25" s="194"/>
      <c r="E25" s="181"/>
      <c r="F25" s="350" t="str">
        <f t="shared" si="53"/>
        <v/>
      </c>
      <c r="G25" s="350" t="str">
        <f t="shared" si="53"/>
        <v/>
      </c>
      <c r="H25" s="181"/>
      <c r="I25" s="127" t="str">
        <f>IF(H25="","",VLOOKUP($H25,구분표!$K$3:$M$151,2,FALSE))</f>
        <v/>
      </c>
      <c r="J25" s="127" t="str">
        <f>IF(I25="","",VLOOKUP($H25,구분표!$K$3:$M$151,3,FALSE))</f>
        <v/>
      </c>
      <c r="K25" s="201"/>
      <c r="L25" s="201"/>
      <c r="M25" s="419" t="str">
        <f t="shared" si="54"/>
        <v/>
      </c>
      <c r="N25" s="419" t="str">
        <f t="shared" si="55"/>
        <v/>
      </c>
      <c r="O25" s="421" t="str">
        <f t="shared" si="46"/>
        <v/>
      </c>
      <c r="P25" s="420"/>
      <c r="Q25" s="421">
        <f t="shared" si="47"/>
        <v>0</v>
      </c>
      <c r="R25" s="422"/>
      <c r="S25" s="423">
        <f t="shared" si="48"/>
        <v>0</v>
      </c>
      <c r="T25" s="133" t="str">
        <f t="shared" si="49"/>
        <v>X</v>
      </c>
      <c r="U25" s="201"/>
      <c r="V25" s="192"/>
      <c r="W25" s="185"/>
      <c r="X25" s="202"/>
      <c r="Y25" s="185"/>
      <c r="Z25" s="320" t="str">
        <f t="shared" si="50"/>
        <v/>
      </c>
      <c r="AA25" s="134"/>
      <c r="AB25" s="446" t="str">
        <f t="shared" si="3"/>
        <v/>
      </c>
      <c r="AC25" s="447">
        <f t="shared" si="51"/>
        <v>0</v>
      </c>
      <c r="AD25" s="320" t="str">
        <f t="shared" si="5"/>
        <v>OK</v>
      </c>
      <c r="AF25" s="462" t="str">
        <f t="shared" si="6"/>
        <v/>
      </c>
      <c r="AG25" s="463">
        <f t="shared" si="52"/>
        <v>0</v>
      </c>
      <c r="AH25" s="343" t="str">
        <f t="shared" si="8"/>
        <v>OK</v>
      </c>
      <c r="AI25" s="47"/>
      <c r="AJ25" s="189" t="str">
        <f t="shared" si="9"/>
        <v/>
      </c>
      <c r="AK25" s="320" t="str">
        <f t="shared" si="10"/>
        <v/>
      </c>
      <c r="AL25" s="320" t="str">
        <f t="shared" si="11"/>
        <v/>
      </c>
      <c r="AM25" s="320" t="str">
        <f t="shared" si="12"/>
        <v/>
      </c>
      <c r="AN25" s="320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45"/>
    </row>
    <row r="26" spans="1:43" ht="60" customHeight="1">
      <c r="A26" s="144"/>
      <c r="B26" s="962" t="s">
        <v>765</v>
      </c>
      <c r="C26" s="962"/>
      <c r="D26" s="962"/>
      <c r="E26" s="962"/>
      <c r="F26" s="962"/>
      <c r="G26" s="962"/>
      <c r="H26" s="145"/>
      <c r="I26" s="145"/>
      <c r="J26" s="145"/>
      <c r="K26" s="145"/>
      <c r="L26" s="317" t="str">
        <f>SUBTOTAL(3,L27:L30)&amp;"건"</f>
        <v>0건</v>
      </c>
      <c r="M26" s="437">
        <f t="shared" ref="M26:S26" si="56">SUBTOTAL(9,M27:M30)</f>
        <v>0</v>
      </c>
      <c r="N26" s="437">
        <f t="shared" si="56"/>
        <v>0</v>
      </c>
      <c r="O26" s="437">
        <f t="shared" si="56"/>
        <v>0</v>
      </c>
      <c r="P26" s="437">
        <f t="shared" si="56"/>
        <v>0</v>
      </c>
      <c r="Q26" s="437">
        <f t="shared" si="56"/>
        <v>0</v>
      </c>
      <c r="R26" s="437">
        <f t="shared" si="56"/>
        <v>0</v>
      </c>
      <c r="S26" s="437">
        <f t="shared" si="56"/>
        <v>0</v>
      </c>
      <c r="T26" s="144"/>
      <c r="U26" s="146"/>
      <c r="V26" s="146"/>
      <c r="W26" s="147"/>
      <c r="X26" s="148"/>
      <c r="Y26" s="148"/>
      <c r="Z26" s="81"/>
      <c r="AA26" s="43"/>
      <c r="AB26" s="424">
        <f>SUBTOTAL(9,AB27:AB30)</f>
        <v>0</v>
      </c>
      <c r="AC26" s="424">
        <f>SUBTOTAL(9,AC27:AC30)</f>
        <v>0</v>
      </c>
      <c r="AD26" s="511" t="str">
        <f>IF(COUNTIF(AD27:AD30,"@@")&gt;0,"@@","OK")</f>
        <v>OK</v>
      </c>
      <c r="AF26" s="424">
        <f>SUBTOTAL(9,AF27:AF30)</f>
        <v>0</v>
      </c>
      <c r="AG26" s="424">
        <f>SUBTOTAL(9,AG27:AG30)</f>
        <v>0</v>
      </c>
      <c r="AH26" s="511" t="str">
        <f>IF(COUNTIF(AH27:AH30,"@@")&gt;0,"@@","OK")</f>
        <v>OK</v>
      </c>
      <c r="AI26" s="36"/>
      <c r="AJ26" s="81"/>
      <c r="AK26" s="81"/>
      <c r="AL26" s="511" t="str">
        <f>IF(COUNTIF(AL27:AL30,"@@")&gt;0,"@@","OK")</f>
        <v>OK</v>
      </c>
      <c r="AM26" s="81"/>
      <c r="AN26" s="511" t="str">
        <f>IF(COUNTIF(AN27:AN30,"@@")&gt;0,"@@","OK")</f>
        <v>OK</v>
      </c>
      <c r="AO26" s="36"/>
      <c r="AP26" s="81"/>
    </row>
    <row r="27" spans="1:43" ht="80.099999999999994" customHeight="1">
      <c r="A27" s="126" t="str">
        <f>IF(D27="","",COUNTA($C$6:C27)-COUNTBLANK($C$6:C27)+5)</f>
        <v/>
      </c>
      <c r="B27" s="127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27" t="str">
        <f>IF(D27="","",IF(OR(D27="교육지원과"),"소방재난본부",VLOOKUP(D27,구분표!$A$3:$C$258,3,)))</f>
        <v/>
      </c>
      <c r="D27" s="194"/>
      <c r="E27" s="181"/>
      <c r="F27" s="350" t="str">
        <f>IF($E27="","",IF($E27="2추","직접입력","-"))</f>
        <v/>
      </c>
      <c r="G27" s="350" t="str">
        <f>IF($E27="","",IF($E27="2추","직접입력","-"))</f>
        <v/>
      </c>
      <c r="H27" s="181"/>
      <c r="I27" s="127" t="str">
        <f>IF(H27="","",VLOOKUP($H27,구분표!$K$3:$M$151,2,FALSE))</f>
        <v/>
      </c>
      <c r="J27" s="127" t="str">
        <f>IF(I27="","",VLOOKUP($H27,구분표!$K$3:$M$151,3,FALSE))</f>
        <v/>
      </c>
      <c r="K27" s="201"/>
      <c r="L27" s="201"/>
      <c r="M27" s="419" t="str">
        <f>IF($E27="","",IF(OR($E27="2추", $E27="1추", $E27="본예산"), "금액입력", "-"))</f>
        <v/>
      </c>
      <c r="N27" s="419" t="str">
        <f>IF($E27="", "", IF($E27="2추","금액입력", "-"))</f>
        <v/>
      </c>
      <c r="O27" s="421" t="str">
        <f t="shared" ref="O27:O30" si="57">IF($E27="","",SUM(M27:N27))</f>
        <v/>
      </c>
      <c r="P27" s="420"/>
      <c r="Q27" s="421">
        <f t="shared" ref="Q27:Q30" si="58">SUM(O27:P27)</f>
        <v>0</v>
      </c>
      <c r="R27" s="422"/>
      <c r="S27" s="423">
        <f t="shared" ref="S27:S30" si="59">SUM(O27,R27)</f>
        <v>0</v>
      </c>
      <c r="T27" s="133" t="str">
        <f t="shared" ref="T27:T30" si="60">IF(AND((Q27=0),(S27&gt;0)),"O",IF(AND((P27&lt;0),(Q27-S27&lt;0)),"O","X"))</f>
        <v>X</v>
      </c>
      <c r="U27" s="201"/>
      <c r="V27" s="192"/>
      <c r="W27" s="185"/>
      <c r="X27" s="202"/>
      <c r="Y27" s="185"/>
      <c r="Z27" s="320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34"/>
      <c r="AB27" s="446" t="str">
        <f t="shared" si="3"/>
        <v/>
      </c>
      <c r="AC27" s="447">
        <f t="shared" ref="AC27:AC30" si="62">IFERROR(P27-AB27,0)</f>
        <v>0</v>
      </c>
      <c r="AD27" s="320" t="str">
        <f t="shared" si="5"/>
        <v>OK</v>
      </c>
      <c r="AF27" s="462" t="str">
        <f t="shared" si="6"/>
        <v/>
      </c>
      <c r="AG27" s="463">
        <f t="shared" ref="AG27:AG30" si="63">IFERROR(R27-AF27,0)</f>
        <v>0</v>
      </c>
      <c r="AH27" s="343" t="str">
        <f t="shared" si="8"/>
        <v>OK</v>
      </c>
      <c r="AI27" s="47"/>
      <c r="AJ27" s="189" t="str">
        <f t="shared" si="9"/>
        <v/>
      </c>
      <c r="AK27" s="320" t="str">
        <f t="shared" si="10"/>
        <v/>
      </c>
      <c r="AL27" s="320" t="str">
        <f t="shared" si="11"/>
        <v/>
      </c>
      <c r="AM27" s="320" t="str">
        <f t="shared" si="12"/>
        <v/>
      </c>
      <c r="AN27" s="320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45"/>
      <c r="AQ27" s="27"/>
    </row>
    <row r="28" spans="1:43" ht="80.099999999999994" customHeight="1">
      <c r="A28" s="126" t="str">
        <f>IF(D28="","",COUNTA($C$6:C28)-COUNTBLANK($C$6:C28)+5)</f>
        <v/>
      </c>
      <c r="B28" s="127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27" t="str">
        <f>IF(D28="","",IF(OR(D28="교육지원과"),"소방재난본부",VLOOKUP(D28,구분표!$A$3:$C$258,3,)))</f>
        <v/>
      </c>
      <c r="D28" s="194"/>
      <c r="E28" s="181"/>
      <c r="F28" s="350" t="str">
        <f t="shared" ref="F28:G30" si="64">IF($E28="","",IF($E28="2추","직접입력","-"))</f>
        <v/>
      </c>
      <c r="G28" s="350" t="str">
        <f t="shared" si="64"/>
        <v/>
      </c>
      <c r="H28" s="181"/>
      <c r="I28" s="127" t="str">
        <f>IF(H28="","",VLOOKUP($H28,구분표!$K$3:$M$151,2,FALSE))</f>
        <v/>
      </c>
      <c r="J28" s="127" t="str">
        <f>IF(I28="","",VLOOKUP($H28,구분표!$K$3:$M$151,3,FALSE))</f>
        <v/>
      </c>
      <c r="K28" s="201"/>
      <c r="L28" s="201"/>
      <c r="M28" s="419" t="str">
        <f t="shared" ref="M28:M30" si="65">IF($E28="","",IF(OR($E28="2추", $E28="1추", $E28="본예산"), "금액입력", "-"))</f>
        <v/>
      </c>
      <c r="N28" s="419" t="str">
        <f t="shared" ref="N28:N30" si="66">IF($E28="", "", IF($E28="2추","금액입력", "-"))</f>
        <v/>
      </c>
      <c r="O28" s="421" t="str">
        <f t="shared" si="57"/>
        <v/>
      </c>
      <c r="P28" s="420"/>
      <c r="Q28" s="421">
        <f t="shared" si="58"/>
        <v>0</v>
      </c>
      <c r="R28" s="422"/>
      <c r="S28" s="423">
        <f t="shared" si="59"/>
        <v>0</v>
      </c>
      <c r="T28" s="133" t="str">
        <f t="shared" si="60"/>
        <v>X</v>
      </c>
      <c r="U28" s="201"/>
      <c r="V28" s="192"/>
      <c r="W28" s="185"/>
      <c r="X28" s="202"/>
      <c r="Y28" s="185"/>
      <c r="Z28" s="320" t="str">
        <f t="shared" si="61"/>
        <v/>
      </c>
      <c r="AA28" s="134"/>
      <c r="AB28" s="446" t="str">
        <f t="shared" si="3"/>
        <v/>
      </c>
      <c r="AC28" s="447">
        <f t="shared" si="62"/>
        <v>0</v>
      </c>
      <c r="AD28" s="320" t="str">
        <f t="shared" si="5"/>
        <v>OK</v>
      </c>
      <c r="AF28" s="462" t="str">
        <f t="shared" si="6"/>
        <v/>
      </c>
      <c r="AG28" s="463">
        <f t="shared" si="63"/>
        <v>0</v>
      </c>
      <c r="AH28" s="343" t="str">
        <f t="shared" si="8"/>
        <v>OK</v>
      </c>
      <c r="AI28" s="47"/>
      <c r="AJ28" s="189" t="str">
        <f t="shared" si="9"/>
        <v/>
      </c>
      <c r="AK28" s="320" t="str">
        <f t="shared" si="10"/>
        <v/>
      </c>
      <c r="AL28" s="320" t="str">
        <f t="shared" si="11"/>
        <v/>
      </c>
      <c r="AM28" s="320" t="str">
        <f t="shared" si="12"/>
        <v/>
      </c>
      <c r="AN28" s="320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45"/>
      <c r="AQ28" s="27"/>
    </row>
    <row r="29" spans="1:43" ht="80.099999999999994" customHeight="1">
      <c r="A29" s="126" t="str">
        <f>IF(D29="","",COUNTA($C$6:C29)-COUNTBLANK($C$6:C29)+5)</f>
        <v/>
      </c>
      <c r="B29" s="127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27" t="str">
        <f>IF(D29="","",IF(OR(D29="교육지원과"),"소방재난본부",VLOOKUP(D29,구분표!$A$3:$C$258,3,)))</f>
        <v/>
      </c>
      <c r="D29" s="194"/>
      <c r="E29" s="181"/>
      <c r="F29" s="350" t="str">
        <f t="shared" si="64"/>
        <v/>
      </c>
      <c r="G29" s="350" t="str">
        <f t="shared" si="64"/>
        <v/>
      </c>
      <c r="H29" s="181"/>
      <c r="I29" s="127" t="str">
        <f>IF(H29="","",VLOOKUP($H29,구분표!$K$3:$M$151,2,FALSE))</f>
        <v/>
      </c>
      <c r="J29" s="127" t="str">
        <f>IF(I29="","",VLOOKUP($H29,구분표!$K$3:$M$151,3,FALSE))</f>
        <v/>
      </c>
      <c r="K29" s="201"/>
      <c r="L29" s="201"/>
      <c r="M29" s="419" t="str">
        <f t="shared" si="65"/>
        <v/>
      </c>
      <c r="N29" s="419" t="str">
        <f t="shared" si="66"/>
        <v/>
      </c>
      <c r="O29" s="421" t="str">
        <f t="shared" si="57"/>
        <v/>
      </c>
      <c r="P29" s="420"/>
      <c r="Q29" s="421">
        <f t="shared" si="58"/>
        <v>0</v>
      </c>
      <c r="R29" s="422"/>
      <c r="S29" s="423">
        <f t="shared" si="59"/>
        <v>0</v>
      </c>
      <c r="T29" s="133" t="str">
        <f t="shared" si="60"/>
        <v>X</v>
      </c>
      <c r="U29" s="201"/>
      <c r="V29" s="192"/>
      <c r="W29" s="185"/>
      <c r="X29" s="202"/>
      <c r="Y29" s="185"/>
      <c r="Z29" s="320" t="str">
        <f t="shared" si="61"/>
        <v/>
      </c>
      <c r="AA29" s="134"/>
      <c r="AB29" s="446" t="str">
        <f t="shared" si="3"/>
        <v/>
      </c>
      <c r="AC29" s="447">
        <f t="shared" si="62"/>
        <v>0</v>
      </c>
      <c r="AD29" s="320" t="str">
        <f t="shared" si="5"/>
        <v>OK</v>
      </c>
      <c r="AF29" s="462" t="str">
        <f t="shared" si="6"/>
        <v/>
      </c>
      <c r="AG29" s="463">
        <f t="shared" si="63"/>
        <v>0</v>
      </c>
      <c r="AH29" s="343" t="str">
        <f t="shared" si="8"/>
        <v>OK</v>
      </c>
      <c r="AI29" s="47"/>
      <c r="AJ29" s="189" t="str">
        <f t="shared" si="9"/>
        <v/>
      </c>
      <c r="AK29" s="320" t="str">
        <f t="shared" si="10"/>
        <v/>
      </c>
      <c r="AL29" s="320" t="str">
        <f t="shared" si="11"/>
        <v/>
      </c>
      <c r="AM29" s="320" t="str">
        <f t="shared" si="12"/>
        <v/>
      </c>
      <c r="AN29" s="320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45"/>
    </row>
    <row r="30" spans="1:43" ht="80.099999999999994" customHeight="1">
      <c r="A30" s="126" t="str">
        <f>IF(D30="","",COUNTA($C$6:C30)-COUNTBLANK($C$6:C30)+5)</f>
        <v/>
      </c>
      <c r="B30" s="127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27" t="str">
        <f>IF(D30="","",IF(OR(D30="교육지원과"),"소방재난본부",VLOOKUP(D30,구분표!$A$3:$C$258,3,)))</f>
        <v/>
      </c>
      <c r="D30" s="194"/>
      <c r="E30" s="181"/>
      <c r="F30" s="350" t="str">
        <f t="shared" si="64"/>
        <v/>
      </c>
      <c r="G30" s="350" t="str">
        <f t="shared" si="64"/>
        <v/>
      </c>
      <c r="H30" s="181"/>
      <c r="I30" s="127" t="str">
        <f>IF(H30="","",VLOOKUP($H30,구분표!$K$3:$M$151,2,FALSE))</f>
        <v/>
      </c>
      <c r="J30" s="127" t="str">
        <f>IF(I30="","",VLOOKUP($H30,구분표!$K$3:$M$151,3,FALSE))</f>
        <v/>
      </c>
      <c r="K30" s="201"/>
      <c r="L30" s="201"/>
      <c r="M30" s="419" t="str">
        <f t="shared" si="65"/>
        <v/>
      </c>
      <c r="N30" s="419" t="str">
        <f t="shared" si="66"/>
        <v/>
      </c>
      <c r="O30" s="421" t="str">
        <f t="shared" si="57"/>
        <v/>
      </c>
      <c r="P30" s="420"/>
      <c r="Q30" s="421">
        <f t="shared" si="58"/>
        <v>0</v>
      </c>
      <c r="R30" s="422"/>
      <c r="S30" s="423">
        <f t="shared" si="59"/>
        <v>0</v>
      </c>
      <c r="T30" s="133" t="str">
        <f t="shared" si="60"/>
        <v>X</v>
      </c>
      <c r="U30" s="201"/>
      <c r="V30" s="192"/>
      <c r="W30" s="185"/>
      <c r="X30" s="202"/>
      <c r="Y30" s="185"/>
      <c r="Z30" s="320" t="str">
        <f t="shared" si="61"/>
        <v/>
      </c>
      <c r="AA30" s="134"/>
      <c r="AB30" s="446" t="str">
        <f t="shared" si="3"/>
        <v/>
      </c>
      <c r="AC30" s="447">
        <f t="shared" si="62"/>
        <v>0</v>
      </c>
      <c r="AD30" s="320" t="str">
        <f t="shared" si="5"/>
        <v>OK</v>
      </c>
      <c r="AF30" s="462" t="str">
        <f t="shared" si="6"/>
        <v/>
      </c>
      <c r="AG30" s="463">
        <f t="shared" si="63"/>
        <v>0</v>
      </c>
      <c r="AH30" s="343" t="str">
        <f t="shared" si="8"/>
        <v>OK</v>
      </c>
      <c r="AI30" s="47"/>
      <c r="AJ30" s="189" t="str">
        <f t="shared" si="9"/>
        <v/>
      </c>
      <c r="AK30" s="320" t="str">
        <f t="shared" si="10"/>
        <v/>
      </c>
      <c r="AL30" s="320" t="str">
        <f t="shared" si="11"/>
        <v/>
      </c>
      <c r="AM30" s="320" t="str">
        <f t="shared" si="12"/>
        <v/>
      </c>
      <c r="AN30" s="320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45"/>
    </row>
    <row r="31" spans="1:43" ht="60" customHeight="1">
      <c r="A31" s="144"/>
      <c r="B31" s="962" t="s">
        <v>770</v>
      </c>
      <c r="C31" s="962"/>
      <c r="D31" s="962"/>
      <c r="E31" s="962"/>
      <c r="F31" s="962"/>
      <c r="G31" s="962"/>
      <c r="H31" s="145"/>
      <c r="I31" s="145"/>
      <c r="J31" s="145"/>
      <c r="K31" s="145"/>
      <c r="L31" s="317" t="str">
        <f>SUBTOTAL(3,L32:L35)&amp;"건"</f>
        <v>0건</v>
      </c>
      <c r="M31" s="437">
        <f t="shared" ref="M31:S31" si="67">SUBTOTAL(9,M32:M35)</f>
        <v>0</v>
      </c>
      <c r="N31" s="437">
        <f t="shared" si="67"/>
        <v>0</v>
      </c>
      <c r="O31" s="437">
        <f t="shared" si="67"/>
        <v>0</v>
      </c>
      <c r="P31" s="437">
        <f t="shared" si="67"/>
        <v>0</v>
      </c>
      <c r="Q31" s="437">
        <f t="shared" si="67"/>
        <v>0</v>
      </c>
      <c r="R31" s="437">
        <f t="shared" si="67"/>
        <v>0</v>
      </c>
      <c r="S31" s="437">
        <f t="shared" si="67"/>
        <v>0</v>
      </c>
      <c r="T31" s="144"/>
      <c r="U31" s="146"/>
      <c r="V31" s="146"/>
      <c r="W31" s="147"/>
      <c r="X31" s="148"/>
      <c r="Y31" s="148"/>
      <c r="Z31" s="81"/>
      <c r="AA31" s="43"/>
      <c r="AB31" s="424">
        <f>SUBTOTAL(9,AB32:AB35)</f>
        <v>0</v>
      </c>
      <c r="AC31" s="424">
        <f>SUBTOTAL(9,AC32:AC35)</f>
        <v>0</v>
      </c>
      <c r="AD31" s="511" t="str">
        <f>IF(COUNTIF(AD32:AD35,"@@")&gt;0,"@@","OK")</f>
        <v>OK</v>
      </c>
      <c r="AF31" s="424">
        <f>SUBTOTAL(9,AF32:AF35)</f>
        <v>0</v>
      </c>
      <c r="AG31" s="424">
        <f>SUBTOTAL(9,AG32:AG35)</f>
        <v>0</v>
      </c>
      <c r="AH31" s="511" t="str">
        <f>IF(COUNTIF(AH32:AH35,"@@")&gt;0,"@@","OK")</f>
        <v>OK</v>
      </c>
      <c r="AI31" s="36"/>
      <c r="AJ31" s="81"/>
      <c r="AK31" s="81"/>
      <c r="AL31" s="511" t="str">
        <f>IF(COUNTIF(AL32:AL35,"@@")&gt;0,"@@","OK")</f>
        <v>OK</v>
      </c>
      <c r="AM31" s="81"/>
      <c r="AN31" s="511" t="str">
        <f>IF(COUNTIF(AN32:AN35,"@@")&gt;0,"@@","OK")</f>
        <v>OK</v>
      </c>
      <c r="AO31" s="36"/>
      <c r="AP31" s="81"/>
    </row>
    <row r="32" spans="1:43" ht="80.099999999999994" customHeight="1">
      <c r="A32" s="126" t="str">
        <f>IF(D32="","",COUNTA($C$6:C32)-COUNTBLANK($C$6:C32)+6)</f>
        <v/>
      </c>
      <c r="B32" s="127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27" t="str">
        <f>IF(D32="","",IF(OR(D32="교육지원과"),"소방재난본부",VLOOKUP(D32,구분표!$A$3:$C$258,3,)))</f>
        <v/>
      </c>
      <c r="D32" s="194"/>
      <c r="E32" s="181"/>
      <c r="F32" s="350" t="str">
        <f>IF($E32="","",IF($E32="2추","직접입력","-"))</f>
        <v/>
      </c>
      <c r="G32" s="350" t="str">
        <f>IF($E32="","",IF($E32="2추","직접입력","-"))</f>
        <v/>
      </c>
      <c r="H32" s="181"/>
      <c r="I32" s="127" t="str">
        <f>IF(H32="","",VLOOKUP($H32,구분표!$K$3:$M$151,2,FALSE))</f>
        <v/>
      </c>
      <c r="J32" s="127" t="str">
        <f>IF(I32="","",VLOOKUP($H32,구분표!$K$3:$M$151,3,FALSE))</f>
        <v/>
      </c>
      <c r="K32" s="201"/>
      <c r="L32" s="201"/>
      <c r="M32" s="419" t="str">
        <f>IF($E32="","",IF(OR($E32="2추", $E32="1추", $E32="본예산"), "금액입력", "-"))</f>
        <v/>
      </c>
      <c r="N32" s="419" t="str">
        <f>IF($E32="", "", IF($E32="2추","금액입력", "-"))</f>
        <v/>
      </c>
      <c r="O32" s="421" t="str">
        <f t="shared" ref="O32:O35" si="68">IF($E32="","",SUM(M32:N32))</f>
        <v/>
      </c>
      <c r="P32" s="420"/>
      <c r="Q32" s="421">
        <f t="shared" ref="Q32:Q35" si="69">SUM(O32:P32)</f>
        <v>0</v>
      </c>
      <c r="R32" s="422"/>
      <c r="S32" s="423">
        <f t="shared" ref="S32:S35" si="70">SUM(O32,R32)</f>
        <v>0</v>
      </c>
      <c r="T32" s="133" t="str">
        <f t="shared" ref="T32:T35" si="71">IF(AND((Q32=0),(S32&gt;0)),"O",IF(AND((P32&lt;0),(Q32-S32&lt;0)),"O","X"))</f>
        <v>X</v>
      </c>
      <c r="U32" s="201"/>
      <c r="V32" s="192"/>
      <c r="W32" s="185"/>
      <c r="X32" s="202"/>
      <c r="Y32" s="185"/>
      <c r="Z32" s="320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34"/>
      <c r="AB32" s="446" t="str">
        <f t="shared" si="3"/>
        <v/>
      </c>
      <c r="AC32" s="447">
        <f t="shared" ref="AC32:AC35" si="73">IFERROR(P32-AB32,0)</f>
        <v>0</v>
      </c>
      <c r="AD32" s="320" t="str">
        <f t="shared" si="5"/>
        <v>OK</v>
      </c>
      <c r="AF32" s="462" t="str">
        <f t="shared" si="6"/>
        <v/>
      </c>
      <c r="AG32" s="463">
        <f t="shared" ref="AG32:AG35" si="74">IFERROR(R32-AF32,0)</f>
        <v>0</v>
      </c>
      <c r="AH32" s="343" t="str">
        <f t="shared" si="8"/>
        <v>OK</v>
      </c>
      <c r="AI32" s="47"/>
      <c r="AJ32" s="189" t="str">
        <f t="shared" si="9"/>
        <v/>
      </c>
      <c r="AK32" s="320" t="str">
        <f t="shared" si="10"/>
        <v/>
      </c>
      <c r="AL32" s="320" t="str">
        <f t="shared" si="11"/>
        <v/>
      </c>
      <c r="AM32" s="320" t="str">
        <f t="shared" si="12"/>
        <v/>
      </c>
      <c r="AN32" s="320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45"/>
      <c r="AQ32" s="27"/>
    </row>
    <row r="33" spans="1:43" ht="80.099999999999994" customHeight="1">
      <c r="A33" s="126" t="str">
        <f>IF(D33="","",COUNTA($C$6:C33)-COUNTBLANK($C$6:C33)+6)</f>
        <v/>
      </c>
      <c r="B33" s="127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27" t="str">
        <f>IF(D33="","",IF(OR(D33="교육지원과"),"소방재난본부",VLOOKUP(D33,구분표!$A$3:$C$258,3,)))</f>
        <v/>
      </c>
      <c r="D33" s="194"/>
      <c r="E33" s="181"/>
      <c r="F33" s="350" t="str">
        <f t="shared" ref="F33:G35" si="75">IF($E33="","",IF($E33="2추","직접입력","-"))</f>
        <v/>
      </c>
      <c r="G33" s="350" t="str">
        <f t="shared" si="75"/>
        <v/>
      </c>
      <c r="H33" s="181"/>
      <c r="I33" s="127" t="str">
        <f>IF(H33="","",VLOOKUP($H33,구분표!$K$3:$M$151,2,FALSE))</f>
        <v/>
      </c>
      <c r="J33" s="127" t="str">
        <f>IF(I33="","",VLOOKUP($H33,구분표!$K$3:$M$151,3,FALSE))</f>
        <v/>
      </c>
      <c r="K33" s="201"/>
      <c r="L33" s="201"/>
      <c r="M33" s="419" t="str">
        <f t="shared" ref="M33:M35" si="76">IF($E33="","",IF(OR($E33="2추", $E33="1추", $E33="본예산"), "금액입력", "-"))</f>
        <v/>
      </c>
      <c r="N33" s="419" t="str">
        <f t="shared" ref="N33:N35" si="77">IF($E33="", "", IF($E33="2추","금액입력", "-"))</f>
        <v/>
      </c>
      <c r="O33" s="421" t="str">
        <f t="shared" si="68"/>
        <v/>
      </c>
      <c r="P33" s="420"/>
      <c r="Q33" s="421">
        <f t="shared" si="69"/>
        <v>0</v>
      </c>
      <c r="R33" s="422"/>
      <c r="S33" s="423">
        <f t="shared" si="70"/>
        <v>0</v>
      </c>
      <c r="T33" s="133" t="str">
        <f t="shared" si="71"/>
        <v>X</v>
      </c>
      <c r="U33" s="201"/>
      <c r="V33" s="192"/>
      <c r="W33" s="185"/>
      <c r="X33" s="202"/>
      <c r="Y33" s="185"/>
      <c r="Z33" s="320" t="str">
        <f t="shared" si="72"/>
        <v/>
      </c>
      <c r="AA33" s="134"/>
      <c r="AB33" s="446" t="str">
        <f t="shared" si="3"/>
        <v/>
      </c>
      <c r="AC33" s="447">
        <f t="shared" si="73"/>
        <v>0</v>
      </c>
      <c r="AD33" s="320" t="str">
        <f t="shared" si="5"/>
        <v>OK</v>
      </c>
      <c r="AF33" s="462" t="str">
        <f t="shared" si="6"/>
        <v/>
      </c>
      <c r="AG33" s="463">
        <f t="shared" si="74"/>
        <v>0</v>
      </c>
      <c r="AH33" s="343" t="str">
        <f t="shared" si="8"/>
        <v>OK</v>
      </c>
      <c r="AI33" s="47"/>
      <c r="AJ33" s="189" t="str">
        <f t="shared" si="9"/>
        <v/>
      </c>
      <c r="AK33" s="320" t="str">
        <f t="shared" si="10"/>
        <v/>
      </c>
      <c r="AL33" s="320" t="str">
        <f t="shared" si="11"/>
        <v/>
      </c>
      <c r="AM33" s="320" t="str">
        <f t="shared" si="12"/>
        <v/>
      </c>
      <c r="AN33" s="320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45"/>
      <c r="AQ33" s="27"/>
    </row>
    <row r="34" spans="1:43" ht="80.099999999999994" customHeight="1">
      <c r="A34" s="126" t="str">
        <f>IF(D34="","",COUNTA($C$6:C34)-COUNTBLANK($C$6:C34)+6)</f>
        <v/>
      </c>
      <c r="B34" s="127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27" t="str">
        <f>IF(D34="","",IF(OR(D34="교육지원과"),"소방재난본부",VLOOKUP(D34,구분표!$A$3:$C$258,3,)))</f>
        <v/>
      </c>
      <c r="D34" s="194"/>
      <c r="E34" s="181"/>
      <c r="F34" s="350" t="str">
        <f t="shared" si="75"/>
        <v/>
      </c>
      <c r="G34" s="350" t="str">
        <f t="shared" si="75"/>
        <v/>
      </c>
      <c r="H34" s="181"/>
      <c r="I34" s="127" t="str">
        <f>IF(H34="","",VLOOKUP($H34,구분표!$K$3:$M$151,2,FALSE))</f>
        <v/>
      </c>
      <c r="J34" s="127" t="str">
        <f>IF(I34="","",VLOOKUP($H34,구분표!$K$3:$M$151,3,FALSE))</f>
        <v/>
      </c>
      <c r="K34" s="201"/>
      <c r="L34" s="201"/>
      <c r="M34" s="419" t="str">
        <f t="shared" si="76"/>
        <v/>
      </c>
      <c r="N34" s="419" t="str">
        <f t="shared" si="77"/>
        <v/>
      </c>
      <c r="O34" s="421" t="str">
        <f t="shared" si="68"/>
        <v/>
      </c>
      <c r="P34" s="420"/>
      <c r="Q34" s="421">
        <f t="shared" si="69"/>
        <v>0</v>
      </c>
      <c r="R34" s="422"/>
      <c r="S34" s="423">
        <f t="shared" si="70"/>
        <v>0</v>
      </c>
      <c r="T34" s="133" t="str">
        <f t="shared" si="71"/>
        <v>X</v>
      </c>
      <c r="U34" s="201"/>
      <c r="V34" s="192"/>
      <c r="W34" s="185"/>
      <c r="X34" s="202"/>
      <c r="Y34" s="185"/>
      <c r="Z34" s="320" t="str">
        <f t="shared" si="72"/>
        <v/>
      </c>
      <c r="AA34" s="134"/>
      <c r="AB34" s="446" t="str">
        <f t="shared" si="3"/>
        <v/>
      </c>
      <c r="AC34" s="447">
        <f t="shared" si="73"/>
        <v>0</v>
      </c>
      <c r="AD34" s="320" t="str">
        <f t="shared" si="5"/>
        <v>OK</v>
      </c>
      <c r="AF34" s="462" t="str">
        <f t="shared" si="6"/>
        <v/>
      </c>
      <c r="AG34" s="463">
        <f t="shared" si="74"/>
        <v>0</v>
      </c>
      <c r="AH34" s="343" t="str">
        <f t="shared" si="8"/>
        <v>OK</v>
      </c>
      <c r="AI34" s="47"/>
      <c r="AJ34" s="189" t="str">
        <f t="shared" si="9"/>
        <v/>
      </c>
      <c r="AK34" s="320" t="str">
        <f t="shared" si="10"/>
        <v/>
      </c>
      <c r="AL34" s="320" t="str">
        <f t="shared" si="11"/>
        <v/>
      </c>
      <c r="AM34" s="320" t="str">
        <f t="shared" si="12"/>
        <v/>
      </c>
      <c r="AN34" s="320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45"/>
    </row>
    <row r="35" spans="1:43" ht="80.099999999999994" customHeight="1">
      <c r="A35" s="126" t="str">
        <f>IF(D35="","",COUNTA($C$6:C35)-COUNTBLANK($C$6:C35)+6)</f>
        <v/>
      </c>
      <c r="B35" s="127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27" t="str">
        <f>IF(D35="","",IF(OR(D35="교육지원과"),"소방재난본부",VLOOKUP(D35,구분표!$A$3:$C$258,3,)))</f>
        <v/>
      </c>
      <c r="D35" s="194"/>
      <c r="E35" s="181"/>
      <c r="F35" s="350" t="str">
        <f t="shared" si="75"/>
        <v/>
      </c>
      <c r="G35" s="350" t="str">
        <f t="shared" si="75"/>
        <v/>
      </c>
      <c r="H35" s="181"/>
      <c r="I35" s="127" t="str">
        <f>IF(H35="","",VLOOKUP($H35,구분표!$K$3:$M$151,2,FALSE))</f>
        <v/>
      </c>
      <c r="J35" s="127" t="str">
        <f>IF(I35="","",VLOOKUP($H35,구분표!$K$3:$M$151,3,FALSE))</f>
        <v/>
      </c>
      <c r="K35" s="201"/>
      <c r="L35" s="201"/>
      <c r="M35" s="419" t="str">
        <f t="shared" si="76"/>
        <v/>
      </c>
      <c r="N35" s="419" t="str">
        <f t="shared" si="77"/>
        <v/>
      </c>
      <c r="O35" s="421" t="str">
        <f t="shared" si="68"/>
        <v/>
      </c>
      <c r="P35" s="420"/>
      <c r="Q35" s="421">
        <f t="shared" si="69"/>
        <v>0</v>
      </c>
      <c r="R35" s="422"/>
      <c r="S35" s="423">
        <f t="shared" si="70"/>
        <v>0</v>
      </c>
      <c r="T35" s="133" t="str">
        <f t="shared" si="71"/>
        <v>X</v>
      </c>
      <c r="U35" s="201"/>
      <c r="V35" s="192"/>
      <c r="W35" s="185"/>
      <c r="X35" s="202"/>
      <c r="Y35" s="185"/>
      <c r="Z35" s="320" t="str">
        <f t="shared" si="72"/>
        <v/>
      </c>
      <c r="AA35" s="134"/>
      <c r="AB35" s="446" t="str">
        <f t="shared" si="3"/>
        <v/>
      </c>
      <c r="AC35" s="447">
        <f t="shared" si="73"/>
        <v>0</v>
      </c>
      <c r="AD35" s="320" t="str">
        <f t="shared" si="5"/>
        <v>OK</v>
      </c>
      <c r="AF35" s="462" t="str">
        <f t="shared" si="6"/>
        <v/>
      </c>
      <c r="AG35" s="463">
        <f t="shared" si="74"/>
        <v>0</v>
      </c>
      <c r="AH35" s="343" t="str">
        <f t="shared" si="8"/>
        <v>OK</v>
      </c>
      <c r="AI35" s="47"/>
      <c r="AJ35" s="189" t="str">
        <f t="shared" si="9"/>
        <v/>
      </c>
      <c r="AK35" s="320" t="str">
        <f t="shared" si="10"/>
        <v/>
      </c>
      <c r="AL35" s="320" t="str">
        <f t="shared" si="11"/>
        <v/>
      </c>
      <c r="AM35" s="320" t="str">
        <f t="shared" si="12"/>
        <v/>
      </c>
      <c r="AN35" s="320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45"/>
    </row>
    <row r="36" spans="1:43" ht="60" customHeight="1">
      <c r="A36" s="144"/>
      <c r="B36" s="962" t="s">
        <v>1060</v>
      </c>
      <c r="C36" s="962"/>
      <c r="D36" s="962"/>
      <c r="E36" s="962"/>
      <c r="F36" s="962"/>
      <c r="G36" s="962"/>
      <c r="H36" s="145"/>
      <c r="I36" s="145"/>
      <c r="J36" s="145"/>
      <c r="K36" s="145"/>
      <c r="L36" s="317" t="str">
        <f>SUBTOTAL(3,L37:L40)&amp;"건"</f>
        <v>0건</v>
      </c>
      <c r="M36" s="437">
        <f t="shared" ref="M36:S36" si="78">SUBTOTAL(9,M37:M40)</f>
        <v>0</v>
      </c>
      <c r="N36" s="437">
        <f t="shared" si="78"/>
        <v>0</v>
      </c>
      <c r="O36" s="437">
        <f t="shared" si="78"/>
        <v>0</v>
      </c>
      <c r="P36" s="437">
        <f t="shared" si="78"/>
        <v>0</v>
      </c>
      <c r="Q36" s="437">
        <f t="shared" si="78"/>
        <v>0</v>
      </c>
      <c r="R36" s="437">
        <f t="shared" si="78"/>
        <v>0</v>
      </c>
      <c r="S36" s="437">
        <f t="shared" si="78"/>
        <v>0</v>
      </c>
      <c r="T36" s="144"/>
      <c r="U36" s="146"/>
      <c r="V36" s="146"/>
      <c r="W36" s="147"/>
      <c r="X36" s="148"/>
      <c r="Y36" s="148"/>
      <c r="Z36" s="81"/>
      <c r="AA36" s="43"/>
      <c r="AB36" s="424">
        <f>SUBTOTAL(9,AB37:AB40)</f>
        <v>0</v>
      </c>
      <c r="AC36" s="424">
        <f>SUBTOTAL(9,AC37:AC40)</f>
        <v>0</v>
      </c>
      <c r="AD36" s="511" t="str">
        <f>IF(COUNTIF(AD37:AD40,"@@")&gt;0,"@@","OK")</f>
        <v>OK</v>
      </c>
      <c r="AF36" s="424">
        <f>SUBTOTAL(9,AF37:AF40)</f>
        <v>0</v>
      </c>
      <c r="AG36" s="424">
        <f>SUBTOTAL(9,AG37:AG40)</f>
        <v>0</v>
      </c>
      <c r="AH36" s="511" t="str">
        <f>IF(COUNTIF(AH37:AH40,"@@")&gt;0,"@@","OK")</f>
        <v>OK</v>
      </c>
      <c r="AI36" s="36"/>
      <c r="AJ36" s="81"/>
      <c r="AK36" s="81"/>
      <c r="AL36" s="511" t="str">
        <f>IF(COUNTIF(AL37:AL40,"@@")&gt;0,"@@","OK")</f>
        <v>OK</v>
      </c>
      <c r="AM36" s="81"/>
      <c r="AN36" s="511" t="str">
        <f>IF(COUNTIF(AN37:AN40,"@@")&gt;0,"@@","OK")</f>
        <v>OK</v>
      </c>
      <c r="AO36" s="36"/>
      <c r="AP36" s="81"/>
    </row>
    <row r="37" spans="1:43" ht="80.099999999999994" customHeight="1">
      <c r="A37" s="126" t="str">
        <f>IF(D37="","",COUNTA($C$6:C37)-COUNTBLANK($C$6:C37)+7)</f>
        <v/>
      </c>
      <c r="B37" s="127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27" t="str">
        <f>IF(D37="","",IF(OR(D37="교육지원과"),"소방재난본부",VLOOKUP(D37,구분표!$A$3:$C$258,3,)))</f>
        <v/>
      </c>
      <c r="D37" s="194"/>
      <c r="E37" s="181"/>
      <c r="F37" s="350" t="str">
        <f>IF($E37="","",IF($E37="2추","직접입력","-"))</f>
        <v/>
      </c>
      <c r="G37" s="350" t="str">
        <f>IF($E37="","",IF($E37="2추","직접입력","-"))</f>
        <v/>
      </c>
      <c r="H37" s="181"/>
      <c r="I37" s="127" t="str">
        <f>IF(H37="","",VLOOKUP($H37,구분표!$K$3:$M$151,2,FALSE))</f>
        <v/>
      </c>
      <c r="J37" s="127" t="str">
        <f>IF(I37="","",VLOOKUP($H37,구분표!$K$3:$M$151,3,FALSE))</f>
        <v/>
      </c>
      <c r="K37" s="201"/>
      <c r="L37" s="201"/>
      <c r="M37" s="419" t="str">
        <f>IF($E37="","",IF(OR($E37="2추", $E37="1추", $E37="본예산"), "금액입력", "-"))</f>
        <v/>
      </c>
      <c r="N37" s="419" t="str">
        <f>IF($E37="", "", IF($E37="2추","금액입력", "-"))</f>
        <v/>
      </c>
      <c r="O37" s="421" t="str">
        <f t="shared" ref="O37:O40" si="79">IF($E37="","",SUM(M37:N37))</f>
        <v/>
      </c>
      <c r="P37" s="420"/>
      <c r="Q37" s="421">
        <f t="shared" ref="Q37:Q40" si="80">SUM(O37:P37)</f>
        <v>0</v>
      </c>
      <c r="R37" s="422"/>
      <c r="S37" s="423">
        <f t="shared" ref="S37:S40" si="81">SUM(O37,R37)</f>
        <v>0</v>
      </c>
      <c r="T37" s="133" t="str">
        <f t="shared" ref="T37:T40" si="82">IF(AND((Q37=0),(S37&gt;0)),"O",IF(AND((P37&lt;0),(Q37-S37&lt;0)),"O","X"))</f>
        <v>X</v>
      </c>
      <c r="U37" s="201"/>
      <c r="V37" s="192"/>
      <c r="W37" s="185"/>
      <c r="X37" s="202"/>
      <c r="Y37" s="185"/>
      <c r="Z37" s="320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34"/>
      <c r="AB37" s="446" t="str">
        <f t="shared" si="3"/>
        <v/>
      </c>
      <c r="AC37" s="447">
        <f t="shared" ref="AC37:AC40" si="84">IFERROR(P37-AB37,0)</f>
        <v>0</v>
      </c>
      <c r="AD37" s="320" t="str">
        <f t="shared" si="5"/>
        <v>OK</v>
      </c>
      <c r="AF37" s="462" t="str">
        <f t="shared" si="6"/>
        <v/>
      </c>
      <c r="AG37" s="463">
        <f t="shared" ref="AG37:AG40" si="85">IFERROR(R37-AF37,0)</f>
        <v>0</v>
      </c>
      <c r="AH37" s="343" t="str">
        <f t="shared" si="8"/>
        <v>OK</v>
      </c>
      <c r="AI37" s="47"/>
      <c r="AJ37" s="189" t="str">
        <f t="shared" si="9"/>
        <v/>
      </c>
      <c r="AK37" s="320" t="str">
        <f t="shared" si="10"/>
        <v/>
      </c>
      <c r="AL37" s="320" t="str">
        <f t="shared" si="11"/>
        <v/>
      </c>
      <c r="AM37" s="320" t="str">
        <f t="shared" si="12"/>
        <v/>
      </c>
      <c r="AN37" s="320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45"/>
      <c r="AQ37" s="27"/>
    </row>
    <row r="38" spans="1:43" ht="80.099999999999994" customHeight="1">
      <c r="A38" s="126" t="str">
        <f>IF(D38="","",COUNTA($C$6:C38)-COUNTBLANK($C$6:C38)+7)</f>
        <v/>
      </c>
      <c r="B38" s="127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27" t="str">
        <f>IF(D38="","",IF(OR(D38="교육지원과"),"소방재난본부",VLOOKUP(D38,구분표!$A$3:$C$258,3,)))</f>
        <v/>
      </c>
      <c r="D38" s="194"/>
      <c r="E38" s="181"/>
      <c r="F38" s="350" t="str">
        <f t="shared" ref="F38:G40" si="86">IF($E38="","",IF($E38="2추","직접입력","-"))</f>
        <v/>
      </c>
      <c r="G38" s="350" t="str">
        <f t="shared" si="86"/>
        <v/>
      </c>
      <c r="H38" s="181"/>
      <c r="I38" s="127" t="str">
        <f>IF(H38="","",VLOOKUP($H38,구분표!$K$3:$M$151,2,FALSE))</f>
        <v/>
      </c>
      <c r="J38" s="127" t="str">
        <f>IF(I38="","",VLOOKUP($H38,구분표!$K$3:$M$151,3,FALSE))</f>
        <v/>
      </c>
      <c r="K38" s="201"/>
      <c r="L38" s="201"/>
      <c r="M38" s="419" t="str">
        <f t="shared" ref="M38:M40" si="87">IF($E38="","",IF(OR($E38="2추", $E38="1추", $E38="본예산"), "금액입력", "-"))</f>
        <v/>
      </c>
      <c r="N38" s="419" t="str">
        <f t="shared" ref="N38:N40" si="88">IF($E38="", "", IF($E38="2추","금액입력", "-"))</f>
        <v/>
      </c>
      <c r="O38" s="421" t="str">
        <f t="shared" si="79"/>
        <v/>
      </c>
      <c r="P38" s="420"/>
      <c r="Q38" s="421">
        <f t="shared" si="80"/>
        <v>0</v>
      </c>
      <c r="R38" s="422"/>
      <c r="S38" s="423">
        <f t="shared" si="81"/>
        <v>0</v>
      </c>
      <c r="T38" s="133" t="str">
        <f t="shared" si="82"/>
        <v>X</v>
      </c>
      <c r="U38" s="201"/>
      <c r="V38" s="192"/>
      <c r="W38" s="185"/>
      <c r="X38" s="202"/>
      <c r="Y38" s="185"/>
      <c r="Z38" s="320" t="str">
        <f t="shared" si="83"/>
        <v/>
      </c>
      <c r="AA38" s="134"/>
      <c r="AB38" s="446" t="str">
        <f t="shared" si="3"/>
        <v/>
      </c>
      <c r="AC38" s="447">
        <f t="shared" si="84"/>
        <v>0</v>
      </c>
      <c r="AD38" s="320" t="str">
        <f t="shared" si="5"/>
        <v>OK</v>
      </c>
      <c r="AF38" s="462" t="str">
        <f t="shared" si="6"/>
        <v/>
      </c>
      <c r="AG38" s="463">
        <f t="shared" si="85"/>
        <v>0</v>
      </c>
      <c r="AH38" s="343" t="str">
        <f t="shared" si="8"/>
        <v>OK</v>
      </c>
      <c r="AI38" s="47"/>
      <c r="AJ38" s="189" t="str">
        <f t="shared" si="9"/>
        <v/>
      </c>
      <c r="AK38" s="320" t="str">
        <f t="shared" si="10"/>
        <v/>
      </c>
      <c r="AL38" s="320" t="str">
        <f t="shared" si="11"/>
        <v/>
      </c>
      <c r="AM38" s="320" t="str">
        <f t="shared" si="12"/>
        <v/>
      </c>
      <c r="AN38" s="320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45"/>
      <c r="AQ38" s="27"/>
    </row>
    <row r="39" spans="1:43" ht="80.099999999999994" customHeight="1">
      <c r="A39" s="126" t="str">
        <f>IF(D39="","",COUNTA($C$6:C39)-COUNTBLANK($C$6:C39)+7)</f>
        <v/>
      </c>
      <c r="B39" s="127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27" t="str">
        <f>IF(D39="","",IF(OR(D39="교육지원과"),"소방재난본부",VLOOKUP(D39,구분표!$A$3:$C$258,3,)))</f>
        <v/>
      </c>
      <c r="D39" s="194"/>
      <c r="E39" s="181"/>
      <c r="F39" s="350" t="str">
        <f t="shared" si="86"/>
        <v/>
      </c>
      <c r="G39" s="350" t="str">
        <f t="shared" si="86"/>
        <v/>
      </c>
      <c r="H39" s="181"/>
      <c r="I39" s="127" t="str">
        <f>IF(H39="","",VLOOKUP($H39,구분표!$K$3:$M$151,2,FALSE))</f>
        <v/>
      </c>
      <c r="J39" s="127" t="str">
        <f>IF(I39="","",VLOOKUP($H39,구분표!$K$3:$M$151,3,FALSE))</f>
        <v/>
      </c>
      <c r="K39" s="201"/>
      <c r="L39" s="201"/>
      <c r="M39" s="419" t="str">
        <f t="shared" si="87"/>
        <v/>
      </c>
      <c r="N39" s="419" t="str">
        <f t="shared" si="88"/>
        <v/>
      </c>
      <c r="O39" s="421" t="str">
        <f t="shared" si="79"/>
        <v/>
      </c>
      <c r="P39" s="420"/>
      <c r="Q39" s="421">
        <f t="shared" si="80"/>
        <v>0</v>
      </c>
      <c r="R39" s="422"/>
      <c r="S39" s="423">
        <f t="shared" si="81"/>
        <v>0</v>
      </c>
      <c r="T39" s="133" t="str">
        <f t="shared" si="82"/>
        <v>X</v>
      </c>
      <c r="U39" s="201"/>
      <c r="V39" s="192"/>
      <c r="W39" s="185"/>
      <c r="X39" s="202"/>
      <c r="Y39" s="185"/>
      <c r="Z39" s="320" t="str">
        <f t="shared" si="83"/>
        <v/>
      </c>
      <c r="AA39" s="134"/>
      <c r="AB39" s="446" t="str">
        <f t="shared" si="3"/>
        <v/>
      </c>
      <c r="AC39" s="447">
        <f t="shared" si="84"/>
        <v>0</v>
      </c>
      <c r="AD39" s="320" t="str">
        <f t="shared" si="5"/>
        <v>OK</v>
      </c>
      <c r="AF39" s="462" t="str">
        <f t="shared" si="6"/>
        <v/>
      </c>
      <c r="AG39" s="463">
        <f t="shared" si="85"/>
        <v>0</v>
      </c>
      <c r="AH39" s="343" t="str">
        <f t="shared" si="8"/>
        <v>OK</v>
      </c>
      <c r="AI39" s="47"/>
      <c r="AJ39" s="189" t="str">
        <f t="shared" si="9"/>
        <v/>
      </c>
      <c r="AK39" s="320" t="str">
        <f t="shared" si="10"/>
        <v/>
      </c>
      <c r="AL39" s="320" t="str">
        <f t="shared" si="11"/>
        <v/>
      </c>
      <c r="AM39" s="320" t="str">
        <f t="shared" si="12"/>
        <v/>
      </c>
      <c r="AN39" s="320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45"/>
    </row>
    <row r="40" spans="1:43" ht="80.099999999999994" customHeight="1">
      <c r="A40" s="126" t="str">
        <f>IF(D40="","",COUNTA($C$6:C40)-COUNTBLANK($C$6:C40)+7)</f>
        <v/>
      </c>
      <c r="B40" s="127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27" t="str">
        <f>IF(D40="","",IF(OR(D40="교육지원과"),"소방재난본부",VLOOKUP(D40,구분표!$A$3:$C$258,3,)))</f>
        <v/>
      </c>
      <c r="D40" s="194"/>
      <c r="E40" s="181"/>
      <c r="F40" s="350" t="str">
        <f t="shared" si="86"/>
        <v/>
      </c>
      <c r="G40" s="350" t="str">
        <f t="shared" si="86"/>
        <v/>
      </c>
      <c r="H40" s="181"/>
      <c r="I40" s="127" t="str">
        <f>IF(H40="","",VLOOKUP($H40,구분표!$K$3:$M$151,2,FALSE))</f>
        <v/>
      </c>
      <c r="J40" s="127" t="str">
        <f>IF(I40="","",VLOOKUP($H40,구분표!$K$3:$M$151,3,FALSE))</f>
        <v/>
      </c>
      <c r="K40" s="201"/>
      <c r="L40" s="201"/>
      <c r="M40" s="419" t="str">
        <f t="shared" si="87"/>
        <v/>
      </c>
      <c r="N40" s="419" t="str">
        <f t="shared" si="88"/>
        <v/>
      </c>
      <c r="O40" s="421" t="str">
        <f t="shared" si="79"/>
        <v/>
      </c>
      <c r="P40" s="420"/>
      <c r="Q40" s="421">
        <f t="shared" si="80"/>
        <v>0</v>
      </c>
      <c r="R40" s="422"/>
      <c r="S40" s="423">
        <f t="shared" si="81"/>
        <v>0</v>
      </c>
      <c r="T40" s="133" t="str">
        <f t="shared" si="82"/>
        <v>X</v>
      </c>
      <c r="U40" s="201"/>
      <c r="V40" s="192"/>
      <c r="W40" s="185"/>
      <c r="X40" s="202"/>
      <c r="Y40" s="185"/>
      <c r="Z40" s="320" t="str">
        <f t="shared" si="83"/>
        <v/>
      </c>
      <c r="AA40" s="134"/>
      <c r="AB40" s="446" t="str">
        <f t="shared" si="3"/>
        <v/>
      </c>
      <c r="AC40" s="447">
        <f t="shared" si="84"/>
        <v>0</v>
      </c>
      <c r="AD40" s="320" t="str">
        <f t="shared" si="5"/>
        <v>OK</v>
      </c>
      <c r="AF40" s="462" t="str">
        <f t="shared" si="6"/>
        <v/>
      </c>
      <c r="AG40" s="463">
        <f t="shared" si="85"/>
        <v>0</v>
      </c>
      <c r="AH40" s="343" t="str">
        <f t="shared" si="8"/>
        <v>OK</v>
      </c>
      <c r="AI40" s="47"/>
      <c r="AJ40" s="189" t="str">
        <f t="shared" si="9"/>
        <v/>
      </c>
      <c r="AK40" s="320" t="str">
        <f t="shared" si="10"/>
        <v/>
      </c>
      <c r="AL40" s="320" t="str">
        <f t="shared" si="11"/>
        <v/>
      </c>
      <c r="AM40" s="320" t="str">
        <f t="shared" si="12"/>
        <v/>
      </c>
      <c r="AN40" s="320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45"/>
    </row>
    <row r="41" spans="1:43" ht="60" customHeight="1">
      <c r="A41" s="144"/>
      <c r="B41" s="962" t="s">
        <v>773</v>
      </c>
      <c r="C41" s="962"/>
      <c r="D41" s="962"/>
      <c r="E41" s="962"/>
      <c r="F41" s="962"/>
      <c r="G41" s="962"/>
      <c r="H41" s="145"/>
      <c r="I41" s="145"/>
      <c r="J41" s="145"/>
      <c r="K41" s="145"/>
      <c r="L41" s="317" t="str">
        <f>SUBTOTAL(3,L42:L45)&amp;"건"</f>
        <v>0건</v>
      </c>
      <c r="M41" s="437">
        <f t="shared" ref="M41:S41" si="89">SUBTOTAL(9,M42:M45)</f>
        <v>0</v>
      </c>
      <c r="N41" s="437">
        <f t="shared" si="89"/>
        <v>0</v>
      </c>
      <c r="O41" s="437">
        <f t="shared" si="89"/>
        <v>0</v>
      </c>
      <c r="P41" s="437">
        <f t="shared" si="89"/>
        <v>0</v>
      </c>
      <c r="Q41" s="437">
        <f t="shared" si="89"/>
        <v>0</v>
      </c>
      <c r="R41" s="437">
        <f t="shared" si="89"/>
        <v>0</v>
      </c>
      <c r="S41" s="437">
        <f t="shared" si="89"/>
        <v>0</v>
      </c>
      <c r="T41" s="144"/>
      <c r="U41" s="146"/>
      <c r="V41" s="146"/>
      <c r="W41" s="147"/>
      <c r="X41" s="148"/>
      <c r="Y41" s="148"/>
      <c r="Z41" s="81"/>
      <c r="AA41" s="43"/>
      <c r="AB41" s="424">
        <f>SUBTOTAL(9,AB42:AB45)</f>
        <v>0</v>
      </c>
      <c r="AC41" s="424">
        <f>SUBTOTAL(9,AC42:AC45)</f>
        <v>0</v>
      </c>
      <c r="AD41" s="511" t="str">
        <f>IF(COUNTIF(AD42:AD45,"@@")&gt;0,"@@","OK")</f>
        <v>OK</v>
      </c>
      <c r="AF41" s="424">
        <f>SUBTOTAL(9,AF42:AF45)</f>
        <v>0</v>
      </c>
      <c r="AG41" s="424">
        <f>SUBTOTAL(9,AG42:AG45)</f>
        <v>0</v>
      </c>
      <c r="AH41" s="511" t="str">
        <f>IF(COUNTIF(AH42:AH45,"@@")&gt;0,"@@","OK")</f>
        <v>OK</v>
      </c>
      <c r="AI41" s="36"/>
      <c r="AJ41" s="81"/>
      <c r="AK41" s="81"/>
      <c r="AL41" s="511" t="str">
        <f>IF(COUNTIF(AL42:AL45,"@@")&gt;0,"@@","OK")</f>
        <v>OK</v>
      </c>
      <c r="AM41" s="81"/>
      <c r="AN41" s="511" t="str">
        <f>IF(COUNTIF(AN42:AN45,"@@")&gt;0,"@@","OK")</f>
        <v>OK</v>
      </c>
      <c r="AO41" s="36"/>
      <c r="AP41" s="81"/>
    </row>
    <row r="42" spans="1:43" ht="80.099999999999994" customHeight="1">
      <c r="A42" s="126" t="str">
        <f>IF(D42="","",COUNTA($C$6:C42)-COUNTBLANK($C$6:C42)+8)</f>
        <v/>
      </c>
      <c r="B42" s="127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27" t="str">
        <f>IF(D42="","",IF(OR(D42="교육지원과"),"소방재난본부",VLOOKUP(D42,구분표!$A$3:$C$258,3,)))</f>
        <v/>
      </c>
      <c r="D42" s="194"/>
      <c r="E42" s="181"/>
      <c r="F42" s="350" t="str">
        <f>IF($E42="","",IF($E42="2추","직접입력","-"))</f>
        <v/>
      </c>
      <c r="G42" s="350" t="str">
        <f>IF($E42="","",IF($E42="2추","직접입력","-"))</f>
        <v/>
      </c>
      <c r="H42" s="181"/>
      <c r="I42" s="127" t="str">
        <f>IF(H42="","",VLOOKUP($H42,구분표!$K$3:$M$151,2,FALSE))</f>
        <v/>
      </c>
      <c r="J42" s="127" t="str">
        <f>IF(I42="","",VLOOKUP($H42,구분표!$K$3:$M$151,3,FALSE))</f>
        <v/>
      </c>
      <c r="K42" s="201"/>
      <c r="L42" s="201"/>
      <c r="M42" s="419" t="str">
        <f>IF($E42="","",IF(OR($E42="2추", $E42="1추", $E42="본예산"), "금액입력", "-"))</f>
        <v/>
      </c>
      <c r="N42" s="419" t="str">
        <f>IF($E42="", "", IF($E42="2추","금액입력", "-"))</f>
        <v/>
      </c>
      <c r="O42" s="421" t="str">
        <f t="shared" ref="O42:O45" si="90">IF($E42="","",SUM(M42:N42))</f>
        <v/>
      </c>
      <c r="P42" s="420"/>
      <c r="Q42" s="421">
        <f t="shared" ref="Q42:Q45" si="91">SUM(O42:P42)</f>
        <v>0</v>
      </c>
      <c r="R42" s="422"/>
      <c r="S42" s="423">
        <f t="shared" ref="S42:S45" si="92">SUM(O42,R42)</f>
        <v>0</v>
      </c>
      <c r="T42" s="133" t="str">
        <f t="shared" ref="T42:T45" si="93">IF(AND((Q42=0),(S42&gt;0)),"O",IF(AND((P42&lt;0),(Q42-S42&lt;0)),"O","X"))</f>
        <v>X</v>
      </c>
      <c r="U42" s="201"/>
      <c r="V42" s="192"/>
      <c r="W42" s="185"/>
      <c r="X42" s="202"/>
      <c r="Y42" s="185"/>
      <c r="Z42" s="320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34"/>
      <c r="AB42" s="446" t="str">
        <f t="shared" si="3"/>
        <v/>
      </c>
      <c r="AC42" s="447">
        <f t="shared" ref="AC42:AC45" si="95">IFERROR(P42-AB42,0)</f>
        <v>0</v>
      </c>
      <c r="AD42" s="320" t="str">
        <f t="shared" si="5"/>
        <v>OK</v>
      </c>
      <c r="AF42" s="462" t="str">
        <f t="shared" si="6"/>
        <v/>
      </c>
      <c r="AG42" s="463">
        <f t="shared" ref="AG42:AG45" si="96">IFERROR(R42-AF42,0)</f>
        <v>0</v>
      </c>
      <c r="AH42" s="343" t="str">
        <f t="shared" si="8"/>
        <v>OK</v>
      </c>
      <c r="AI42" s="47"/>
      <c r="AJ42" s="189" t="str">
        <f t="shared" si="9"/>
        <v/>
      </c>
      <c r="AK42" s="320" t="str">
        <f t="shared" si="10"/>
        <v/>
      </c>
      <c r="AL42" s="320" t="str">
        <f t="shared" si="11"/>
        <v/>
      </c>
      <c r="AM42" s="320" t="str">
        <f t="shared" si="12"/>
        <v/>
      </c>
      <c r="AN42" s="320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45"/>
      <c r="AQ42" s="27"/>
    </row>
    <row r="43" spans="1:43" ht="80.099999999999994" customHeight="1">
      <c r="A43" s="126" t="str">
        <f>IF(D43="","",COUNTA($C$6:C43)-COUNTBLANK($C$6:C43)+8)</f>
        <v/>
      </c>
      <c r="B43" s="127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27" t="str">
        <f>IF(D43="","",IF(OR(D43="교육지원과"),"소방재난본부",VLOOKUP(D43,구분표!$A$3:$C$258,3,)))</f>
        <v/>
      </c>
      <c r="D43" s="194"/>
      <c r="E43" s="181"/>
      <c r="F43" s="350" t="str">
        <f t="shared" ref="F43:G45" si="97">IF($E43="","",IF($E43="2추","직접입력","-"))</f>
        <v/>
      </c>
      <c r="G43" s="350" t="str">
        <f t="shared" si="97"/>
        <v/>
      </c>
      <c r="H43" s="181"/>
      <c r="I43" s="127" t="str">
        <f>IF(H43="","",VLOOKUP($H43,구분표!$K$3:$M$151,2,FALSE))</f>
        <v/>
      </c>
      <c r="J43" s="127" t="str">
        <f>IF(I43="","",VLOOKUP($H43,구분표!$K$3:$M$151,3,FALSE))</f>
        <v/>
      </c>
      <c r="K43" s="201"/>
      <c r="L43" s="201"/>
      <c r="M43" s="419" t="str">
        <f t="shared" ref="M43:M45" si="98">IF($E43="","",IF(OR($E43="2추", $E43="1추", $E43="본예산"), "금액입력", "-"))</f>
        <v/>
      </c>
      <c r="N43" s="419" t="str">
        <f t="shared" ref="N43:N45" si="99">IF($E43="", "", IF($E43="2추","금액입력", "-"))</f>
        <v/>
      </c>
      <c r="O43" s="421" t="str">
        <f t="shared" si="90"/>
        <v/>
      </c>
      <c r="P43" s="420"/>
      <c r="Q43" s="421">
        <f t="shared" si="91"/>
        <v>0</v>
      </c>
      <c r="R43" s="422"/>
      <c r="S43" s="423">
        <f t="shared" si="92"/>
        <v>0</v>
      </c>
      <c r="T43" s="133" t="str">
        <f t="shared" si="93"/>
        <v>X</v>
      </c>
      <c r="U43" s="201"/>
      <c r="V43" s="192"/>
      <c r="W43" s="185"/>
      <c r="X43" s="202"/>
      <c r="Y43" s="185"/>
      <c r="Z43" s="320" t="str">
        <f t="shared" si="94"/>
        <v/>
      </c>
      <c r="AA43" s="134"/>
      <c r="AB43" s="446" t="str">
        <f t="shared" si="3"/>
        <v/>
      </c>
      <c r="AC43" s="447">
        <f t="shared" si="95"/>
        <v>0</v>
      </c>
      <c r="AD43" s="320" t="str">
        <f t="shared" si="5"/>
        <v>OK</v>
      </c>
      <c r="AF43" s="462" t="str">
        <f t="shared" si="6"/>
        <v/>
      </c>
      <c r="AG43" s="463">
        <f t="shared" si="96"/>
        <v>0</v>
      </c>
      <c r="AH43" s="343" t="str">
        <f t="shared" si="8"/>
        <v>OK</v>
      </c>
      <c r="AI43" s="47"/>
      <c r="AJ43" s="189" t="str">
        <f t="shared" si="9"/>
        <v/>
      </c>
      <c r="AK43" s="320" t="str">
        <f t="shared" si="10"/>
        <v/>
      </c>
      <c r="AL43" s="320" t="str">
        <f t="shared" si="11"/>
        <v/>
      </c>
      <c r="AM43" s="320" t="str">
        <f t="shared" si="12"/>
        <v/>
      </c>
      <c r="AN43" s="320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45"/>
      <c r="AQ43" s="27"/>
    </row>
    <row r="44" spans="1:43" ht="80.099999999999994" customHeight="1">
      <c r="A44" s="126" t="str">
        <f>IF(D44="","",COUNTA($C$6:C44)-COUNTBLANK($C$6:C44)+8)</f>
        <v/>
      </c>
      <c r="B44" s="127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27" t="str">
        <f>IF(D44="","",IF(OR(D44="교육지원과"),"소방재난본부",VLOOKUP(D44,구분표!$A$3:$C$258,3,)))</f>
        <v/>
      </c>
      <c r="D44" s="194"/>
      <c r="E44" s="181"/>
      <c r="F44" s="350" t="str">
        <f t="shared" si="97"/>
        <v/>
      </c>
      <c r="G44" s="350" t="str">
        <f t="shared" si="97"/>
        <v/>
      </c>
      <c r="H44" s="181"/>
      <c r="I44" s="127" t="str">
        <f>IF(H44="","",VLOOKUP($H44,구분표!$K$3:$M$151,2,FALSE))</f>
        <v/>
      </c>
      <c r="J44" s="127" t="str">
        <f>IF(I44="","",VLOOKUP($H44,구분표!$K$3:$M$151,3,FALSE))</f>
        <v/>
      </c>
      <c r="K44" s="201"/>
      <c r="L44" s="201"/>
      <c r="M44" s="419" t="str">
        <f t="shared" si="98"/>
        <v/>
      </c>
      <c r="N44" s="419" t="str">
        <f t="shared" si="99"/>
        <v/>
      </c>
      <c r="O44" s="421" t="str">
        <f t="shared" si="90"/>
        <v/>
      </c>
      <c r="P44" s="420"/>
      <c r="Q44" s="421">
        <f t="shared" si="91"/>
        <v>0</v>
      </c>
      <c r="R44" s="422"/>
      <c r="S44" s="423">
        <f t="shared" si="92"/>
        <v>0</v>
      </c>
      <c r="T44" s="133" t="str">
        <f t="shared" si="93"/>
        <v>X</v>
      </c>
      <c r="U44" s="201"/>
      <c r="V44" s="192"/>
      <c r="W44" s="185"/>
      <c r="X44" s="202"/>
      <c r="Y44" s="185"/>
      <c r="Z44" s="320" t="str">
        <f t="shared" si="94"/>
        <v/>
      </c>
      <c r="AA44" s="134"/>
      <c r="AB44" s="446" t="str">
        <f t="shared" si="3"/>
        <v/>
      </c>
      <c r="AC44" s="447">
        <f t="shared" si="95"/>
        <v>0</v>
      </c>
      <c r="AD44" s="320" t="str">
        <f t="shared" si="5"/>
        <v>OK</v>
      </c>
      <c r="AF44" s="462" t="str">
        <f t="shared" si="6"/>
        <v/>
      </c>
      <c r="AG44" s="463">
        <f t="shared" si="96"/>
        <v>0</v>
      </c>
      <c r="AH44" s="343" t="str">
        <f t="shared" si="8"/>
        <v>OK</v>
      </c>
      <c r="AI44" s="47"/>
      <c r="AJ44" s="189" t="str">
        <f t="shared" si="9"/>
        <v/>
      </c>
      <c r="AK44" s="320" t="str">
        <f t="shared" si="10"/>
        <v/>
      </c>
      <c r="AL44" s="320" t="str">
        <f t="shared" si="11"/>
        <v/>
      </c>
      <c r="AM44" s="320" t="str">
        <f t="shared" si="12"/>
        <v/>
      </c>
      <c r="AN44" s="320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45"/>
    </row>
    <row r="45" spans="1:43" ht="80.099999999999994" customHeight="1">
      <c r="A45" s="126" t="str">
        <f>IF(D45="","",COUNTA($C$6:C45)-COUNTBLANK($C$6:C45)+8)</f>
        <v/>
      </c>
      <c r="B45" s="127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27" t="str">
        <f>IF(D45="","",IF(OR(D45="교육지원과"),"소방재난본부",VLOOKUP(D45,구분표!$A$3:$C$258,3,)))</f>
        <v/>
      </c>
      <c r="D45" s="194"/>
      <c r="E45" s="181"/>
      <c r="F45" s="350" t="str">
        <f t="shared" si="97"/>
        <v/>
      </c>
      <c r="G45" s="350" t="str">
        <f t="shared" si="97"/>
        <v/>
      </c>
      <c r="H45" s="181"/>
      <c r="I45" s="127" t="str">
        <f>IF(H45="","",VLOOKUP($H45,구분표!$K$3:$M$151,2,FALSE))</f>
        <v/>
      </c>
      <c r="J45" s="127" t="str">
        <f>IF(I45="","",VLOOKUP($H45,구분표!$K$3:$M$151,3,FALSE))</f>
        <v/>
      </c>
      <c r="K45" s="201"/>
      <c r="L45" s="201"/>
      <c r="M45" s="419" t="str">
        <f t="shared" si="98"/>
        <v/>
      </c>
      <c r="N45" s="419" t="str">
        <f t="shared" si="99"/>
        <v/>
      </c>
      <c r="O45" s="421" t="str">
        <f t="shared" si="90"/>
        <v/>
      </c>
      <c r="P45" s="420"/>
      <c r="Q45" s="421">
        <f t="shared" si="91"/>
        <v>0</v>
      </c>
      <c r="R45" s="422"/>
      <c r="S45" s="423">
        <f t="shared" si="92"/>
        <v>0</v>
      </c>
      <c r="T45" s="133" t="str">
        <f t="shared" si="93"/>
        <v>X</v>
      </c>
      <c r="U45" s="201"/>
      <c r="V45" s="192"/>
      <c r="W45" s="185"/>
      <c r="X45" s="202"/>
      <c r="Y45" s="185"/>
      <c r="Z45" s="320" t="str">
        <f t="shared" si="94"/>
        <v/>
      </c>
      <c r="AA45" s="134"/>
      <c r="AB45" s="446" t="str">
        <f t="shared" si="3"/>
        <v/>
      </c>
      <c r="AC45" s="447">
        <f t="shared" si="95"/>
        <v>0</v>
      </c>
      <c r="AD45" s="320" t="str">
        <f t="shared" si="5"/>
        <v>OK</v>
      </c>
      <c r="AF45" s="462" t="str">
        <f t="shared" si="6"/>
        <v/>
      </c>
      <c r="AG45" s="463">
        <f t="shared" si="96"/>
        <v>0</v>
      </c>
      <c r="AH45" s="343" t="str">
        <f t="shared" si="8"/>
        <v>OK</v>
      </c>
      <c r="AI45" s="47"/>
      <c r="AJ45" s="189" t="str">
        <f t="shared" si="9"/>
        <v/>
      </c>
      <c r="AK45" s="320" t="str">
        <f t="shared" si="10"/>
        <v/>
      </c>
      <c r="AL45" s="320" t="str">
        <f t="shared" si="11"/>
        <v/>
      </c>
      <c r="AM45" s="320" t="str">
        <f t="shared" si="12"/>
        <v/>
      </c>
      <c r="AN45" s="320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45"/>
    </row>
    <row r="46" spans="1:43" ht="60" customHeight="1">
      <c r="A46" s="144"/>
      <c r="B46" s="962" t="s">
        <v>772</v>
      </c>
      <c r="C46" s="962"/>
      <c r="D46" s="962"/>
      <c r="E46" s="962"/>
      <c r="F46" s="962"/>
      <c r="G46" s="962"/>
      <c r="H46" s="145"/>
      <c r="I46" s="145"/>
      <c r="J46" s="145"/>
      <c r="K46" s="145"/>
      <c r="L46" s="317" t="str">
        <f>SUBTOTAL(3,L47:L50)&amp;"건"</f>
        <v>0건</v>
      </c>
      <c r="M46" s="437">
        <f t="shared" ref="M46:S46" si="100">SUBTOTAL(9,M47:M50)</f>
        <v>0</v>
      </c>
      <c r="N46" s="437">
        <f t="shared" si="100"/>
        <v>0</v>
      </c>
      <c r="O46" s="437">
        <f t="shared" si="100"/>
        <v>0</v>
      </c>
      <c r="P46" s="437">
        <f t="shared" si="100"/>
        <v>0</v>
      </c>
      <c r="Q46" s="437">
        <f t="shared" si="100"/>
        <v>0</v>
      </c>
      <c r="R46" s="437">
        <f t="shared" si="100"/>
        <v>0</v>
      </c>
      <c r="S46" s="437">
        <f t="shared" si="100"/>
        <v>0</v>
      </c>
      <c r="T46" s="144"/>
      <c r="U46" s="146"/>
      <c r="V46" s="146"/>
      <c r="W46" s="147"/>
      <c r="X46" s="148"/>
      <c r="Y46" s="148"/>
      <c r="Z46" s="81"/>
      <c r="AA46" s="43"/>
      <c r="AB46" s="424">
        <f>SUBTOTAL(9,AB47:AB50)</f>
        <v>0</v>
      </c>
      <c r="AC46" s="424">
        <f>SUBTOTAL(9,AC47:AC50)</f>
        <v>0</v>
      </c>
      <c r="AD46" s="511" t="str">
        <f>IF(COUNTIF(AD47:AD50,"@@")&gt;0,"@@","OK")</f>
        <v>OK</v>
      </c>
      <c r="AF46" s="424">
        <f>SUBTOTAL(9,AF47:AF50)</f>
        <v>0</v>
      </c>
      <c r="AG46" s="424">
        <f>SUBTOTAL(9,AG47:AG50)</f>
        <v>0</v>
      </c>
      <c r="AH46" s="511" t="str">
        <f>IF(COUNTIF(AH47:AH50,"@@")&gt;0,"@@","OK")</f>
        <v>OK</v>
      </c>
      <c r="AI46" s="36"/>
      <c r="AJ46" s="81"/>
      <c r="AK46" s="81"/>
      <c r="AL46" s="511" t="str">
        <f>IF(COUNTIF(AL47:AL50,"@@")&gt;0,"@@","OK")</f>
        <v>OK</v>
      </c>
      <c r="AM46" s="81"/>
      <c r="AN46" s="511" t="str">
        <f>IF(COUNTIF(AN47:AN50,"@@")&gt;0,"@@","OK")</f>
        <v>OK</v>
      </c>
      <c r="AO46" s="36"/>
      <c r="AP46" s="81"/>
    </row>
    <row r="47" spans="1:43" ht="80.099999999999994" customHeight="1">
      <c r="A47" s="126" t="str">
        <f>IF(D47="","",COUNTA($C$6:C47)-COUNTBLANK($C$6:C47)+9)</f>
        <v/>
      </c>
      <c r="B47" s="127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27" t="str">
        <f>IF(D47="","",IF(OR(D47="교육지원과"),"소방재난본부",VLOOKUP(D47,구분표!$A$3:$C$258,3,)))</f>
        <v/>
      </c>
      <c r="D47" s="194"/>
      <c r="E47" s="181"/>
      <c r="F47" s="350" t="str">
        <f>IF($E47="","",IF($E47="2추","직접입력","-"))</f>
        <v/>
      </c>
      <c r="G47" s="350" t="str">
        <f>IF($E47="","",IF($E47="2추","직접입력","-"))</f>
        <v/>
      </c>
      <c r="H47" s="181"/>
      <c r="I47" s="127" t="str">
        <f>IF(H47="","",VLOOKUP($H47,구분표!$K$3:$M$151,2,FALSE))</f>
        <v/>
      </c>
      <c r="J47" s="127" t="str">
        <f>IF(I47="","",VLOOKUP($H47,구분표!$K$3:$M$151,3,FALSE))</f>
        <v/>
      </c>
      <c r="K47" s="201"/>
      <c r="L47" s="201"/>
      <c r="M47" s="419" t="str">
        <f>IF($E47="","",IF(OR($E47="2추", $E47="1추", $E47="본예산"), "금액입력", "-"))</f>
        <v/>
      </c>
      <c r="N47" s="419" t="str">
        <f>IF($E47="", "", IF($E47="2추","금액입력", "-"))</f>
        <v/>
      </c>
      <c r="O47" s="421" t="str">
        <f t="shared" ref="O47:O50" si="101">IF($E47="","",SUM(M47:N47))</f>
        <v/>
      </c>
      <c r="P47" s="420"/>
      <c r="Q47" s="421">
        <f t="shared" ref="Q47:Q50" si="102">SUM(O47:P47)</f>
        <v>0</v>
      </c>
      <c r="R47" s="422"/>
      <c r="S47" s="423">
        <f t="shared" ref="S47:S50" si="103">SUM(O47,R47)</f>
        <v>0</v>
      </c>
      <c r="T47" s="133" t="str">
        <f t="shared" ref="T47:T50" si="104">IF(AND((Q47=0),(S47&gt;0)),"O",IF(AND((P47&lt;0),(Q47-S47&lt;0)),"O","X"))</f>
        <v>X</v>
      </c>
      <c r="U47" s="201"/>
      <c r="V47" s="192"/>
      <c r="W47" s="185"/>
      <c r="X47" s="202"/>
      <c r="Y47" s="185"/>
      <c r="Z47" s="320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34"/>
      <c r="AB47" s="446" t="str">
        <f t="shared" si="3"/>
        <v/>
      </c>
      <c r="AC47" s="447">
        <f t="shared" ref="AC47:AC50" si="106">IFERROR(P47-AB47,0)</f>
        <v>0</v>
      </c>
      <c r="AD47" s="320" t="str">
        <f t="shared" si="5"/>
        <v>OK</v>
      </c>
      <c r="AF47" s="462" t="str">
        <f t="shared" si="6"/>
        <v/>
      </c>
      <c r="AG47" s="463">
        <f t="shared" ref="AG47:AG50" si="107">IFERROR(R47-AF47,0)</f>
        <v>0</v>
      </c>
      <c r="AH47" s="343" t="str">
        <f t="shared" si="8"/>
        <v>OK</v>
      </c>
      <c r="AI47" s="47"/>
      <c r="AJ47" s="189" t="str">
        <f t="shared" si="9"/>
        <v/>
      </c>
      <c r="AK47" s="320" t="str">
        <f t="shared" si="10"/>
        <v/>
      </c>
      <c r="AL47" s="320" t="str">
        <f t="shared" si="11"/>
        <v/>
      </c>
      <c r="AM47" s="320" t="str">
        <f t="shared" si="12"/>
        <v/>
      </c>
      <c r="AN47" s="320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45"/>
      <c r="AQ47" s="27"/>
    </row>
    <row r="48" spans="1:43" ht="80.099999999999994" customHeight="1">
      <c r="A48" s="126" t="str">
        <f>IF(D48="","",COUNTA($C$6:C48)-COUNTBLANK($C$6:C48)+9)</f>
        <v/>
      </c>
      <c r="B48" s="127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27" t="str">
        <f>IF(D48="","",IF(OR(D48="교육지원과"),"소방재난본부",VLOOKUP(D48,구분표!$A$3:$C$258,3,)))</f>
        <v/>
      </c>
      <c r="D48" s="194"/>
      <c r="E48" s="181"/>
      <c r="F48" s="350" t="str">
        <f t="shared" ref="F48:G50" si="108">IF($E48="","",IF($E48="2추","직접입력","-"))</f>
        <v/>
      </c>
      <c r="G48" s="350" t="str">
        <f t="shared" si="108"/>
        <v/>
      </c>
      <c r="H48" s="181"/>
      <c r="I48" s="127" t="str">
        <f>IF(H48="","",VLOOKUP($H48,구분표!$K$3:$M$151,2,FALSE))</f>
        <v/>
      </c>
      <c r="J48" s="127" t="str">
        <f>IF(I48="","",VLOOKUP($H48,구분표!$K$3:$M$151,3,FALSE))</f>
        <v/>
      </c>
      <c r="K48" s="201"/>
      <c r="L48" s="201"/>
      <c r="M48" s="419" t="str">
        <f t="shared" ref="M48:M50" si="109">IF($E48="","",IF(OR($E48="2추", $E48="1추", $E48="본예산"), "금액입력", "-"))</f>
        <v/>
      </c>
      <c r="N48" s="419" t="str">
        <f t="shared" ref="N48:N50" si="110">IF($E48="", "", IF($E48="2추","금액입력", "-"))</f>
        <v/>
      </c>
      <c r="O48" s="421" t="str">
        <f t="shared" si="101"/>
        <v/>
      </c>
      <c r="P48" s="420"/>
      <c r="Q48" s="421">
        <f t="shared" si="102"/>
        <v>0</v>
      </c>
      <c r="R48" s="422"/>
      <c r="S48" s="423">
        <f t="shared" si="103"/>
        <v>0</v>
      </c>
      <c r="T48" s="133" t="str">
        <f t="shared" si="104"/>
        <v>X</v>
      </c>
      <c r="U48" s="201"/>
      <c r="V48" s="192"/>
      <c r="W48" s="185"/>
      <c r="X48" s="202"/>
      <c r="Y48" s="185"/>
      <c r="Z48" s="320" t="str">
        <f t="shared" si="105"/>
        <v/>
      </c>
      <c r="AA48" s="134"/>
      <c r="AB48" s="446" t="str">
        <f t="shared" si="3"/>
        <v/>
      </c>
      <c r="AC48" s="447">
        <f t="shared" si="106"/>
        <v>0</v>
      </c>
      <c r="AD48" s="320" t="str">
        <f t="shared" si="5"/>
        <v>OK</v>
      </c>
      <c r="AF48" s="462" t="str">
        <f t="shared" si="6"/>
        <v/>
      </c>
      <c r="AG48" s="463">
        <f t="shared" si="107"/>
        <v>0</v>
      </c>
      <c r="AH48" s="343" t="str">
        <f t="shared" si="8"/>
        <v>OK</v>
      </c>
      <c r="AI48" s="47"/>
      <c r="AJ48" s="189" t="str">
        <f t="shared" si="9"/>
        <v/>
      </c>
      <c r="AK48" s="320" t="str">
        <f t="shared" si="10"/>
        <v/>
      </c>
      <c r="AL48" s="320" t="str">
        <f t="shared" si="11"/>
        <v/>
      </c>
      <c r="AM48" s="320" t="str">
        <f t="shared" si="12"/>
        <v/>
      </c>
      <c r="AN48" s="320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45"/>
      <c r="AQ48" s="27"/>
    </row>
    <row r="49" spans="1:42" ht="80.099999999999994" customHeight="1">
      <c r="A49" s="126" t="str">
        <f>IF(D49="","",COUNTA($C$6:C49)-COUNTBLANK($C$6:C49)+9)</f>
        <v/>
      </c>
      <c r="B49" s="127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27" t="str">
        <f>IF(D49="","",IF(OR(D49="교육지원과"),"소방재난본부",VLOOKUP(D49,구분표!$A$3:$C$258,3,)))</f>
        <v/>
      </c>
      <c r="D49" s="194"/>
      <c r="E49" s="181"/>
      <c r="F49" s="350" t="str">
        <f t="shared" si="108"/>
        <v/>
      </c>
      <c r="G49" s="350" t="str">
        <f t="shared" si="108"/>
        <v/>
      </c>
      <c r="H49" s="181"/>
      <c r="I49" s="127" t="str">
        <f>IF(H49="","",VLOOKUP($H49,구분표!$K$3:$M$151,2,FALSE))</f>
        <v/>
      </c>
      <c r="J49" s="127" t="str">
        <f>IF(I49="","",VLOOKUP($H49,구분표!$K$3:$M$151,3,FALSE))</f>
        <v/>
      </c>
      <c r="K49" s="201"/>
      <c r="L49" s="201"/>
      <c r="M49" s="419" t="str">
        <f t="shared" si="109"/>
        <v/>
      </c>
      <c r="N49" s="419" t="str">
        <f t="shared" si="110"/>
        <v/>
      </c>
      <c r="O49" s="421" t="str">
        <f t="shared" si="101"/>
        <v/>
      </c>
      <c r="P49" s="420"/>
      <c r="Q49" s="421">
        <f t="shared" si="102"/>
        <v>0</v>
      </c>
      <c r="R49" s="422"/>
      <c r="S49" s="423">
        <f t="shared" si="103"/>
        <v>0</v>
      </c>
      <c r="T49" s="133" t="str">
        <f t="shared" si="104"/>
        <v>X</v>
      </c>
      <c r="U49" s="201"/>
      <c r="V49" s="192"/>
      <c r="W49" s="185"/>
      <c r="X49" s="202"/>
      <c r="Y49" s="185"/>
      <c r="Z49" s="320" t="str">
        <f t="shared" si="105"/>
        <v/>
      </c>
      <c r="AA49" s="134"/>
      <c r="AB49" s="446" t="str">
        <f t="shared" si="3"/>
        <v/>
      </c>
      <c r="AC49" s="447">
        <f t="shared" si="106"/>
        <v>0</v>
      </c>
      <c r="AD49" s="320" t="str">
        <f t="shared" si="5"/>
        <v>OK</v>
      </c>
      <c r="AF49" s="462" t="str">
        <f t="shared" si="6"/>
        <v/>
      </c>
      <c r="AG49" s="463">
        <f t="shared" si="107"/>
        <v>0</v>
      </c>
      <c r="AH49" s="343" t="str">
        <f t="shared" si="8"/>
        <v>OK</v>
      </c>
      <c r="AI49" s="47"/>
      <c r="AJ49" s="189" t="str">
        <f t="shared" si="9"/>
        <v/>
      </c>
      <c r="AK49" s="320" t="str">
        <f t="shared" si="10"/>
        <v/>
      </c>
      <c r="AL49" s="320" t="str">
        <f t="shared" si="11"/>
        <v/>
      </c>
      <c r="AM49" s="320" t="str">
        <f t="shared" si="12"/>
        <v/>
      </c>
      <c r="AN49" s="320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45"/>
    </row>
    <row r="50" spans="1:42" ht="80.099999999999994" customHeight="1">
      <c r="A50" s="126" t="str">
        <f>IF(D50="","",COUNTA($C$6:C50)-COUNTBLANK($C$6:C50)+9)</f>
        <v/>
      </c>
      <c r="B50" s="127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27" t="str">
        <f>IF(D50="","",IF(OR(D50="교육지원과"),"소방재난본부",VLOOKUP(D50,구분표!$A$3:$C$258,3,)))</f>
        <v/>
      </c>
      <c r="D50" s="194"/>
      <c r="E50" s="181"/>
      <c r="F50" s="350" t="str">
        <f t="shared" si="108"/>
        <v/>
      </c>
      <c r="G50" s="350" t="str">
        <f t="shared" si="108"/>
        <v/>
      </c>
      <c r="H50" s="181"/>
      <c r="I50" s="127" t="str">
        <f>IF(H50="","",VLOOKUP($H50,구분표!$K$3:$M$151,2,FALSE))</f>
        <v/>
      </c>
      <c r="J50" s="127" t="str">
        <f>IF(I50="","",VLOOKUP($H50,구분표!$K$3:$M$151,3,FALSE))</f>
        <v/>
      </c>
      <c r="K50" s="201"/>
      <c r="L50" s="201"/>
      <c r="M50" s="419" t="str">
        <f t="shared" si="109"/>
        <v/>
      </c>
      <c r="N50" s="419" t="str">
        <f t="shared" si="110"/>
        <v/>
      </c>
      <c r="O50" s="421" t="str">
        <f t="shared" si="101"/>
        <v/>
      </c>
      <c r="P50" s="420"/>
      <c r="Q50" s="421">
        <f t="shared" si="102"/>
        <v>0</v>
      </c>
      <c r="R50" s="422"/>
      <c r="S50" s="423">
        <f t="shared" si="103"/>
        <v>0</v>
      </c>
      <c r="T50" s="133" t="str">
        <f t="shared" si="104"/>
        <v>X</v>
      </c>
      <c r="U50" s="201"/>
      <c r="V50" s="192"/>
      <c r="W50" s="185"/>
      <c r="X50" s="202"/>
      <c r="Y50" s="185"/>
      <c r="Z50" s="320" t="str">
        <f t="shared" si="105"/>
        <v/>
      </c>
      <c r="AA50" s="134"/>
      <c r="AB50" s="446" t="str">
        <f t="shared" si="3"/>
        <v/>
      </c>
      <c r="AC50" s="447">
        <f t="shared" si="106"/>
        <v>0</v>
      </c>
      <c r="AD50" s="320" t="str">
        <f t="shared" si="5"/>
        <v>OK</v>
      </c>
      <c r="AF50" s="462" t="str">
        <f t="shared" si="6"/>
        <v/>
      </c>
      <c r="AG50" s="463">
        <f t="shared" si="107"/>
        <v>0</v>
      </c>
      <c r="AH50" s="343" t="str">
        <f t="shared" si="8"/>
        <v>OK</v>
      </c>
      <c r="AI50" s="47"/>
      <c r="AJ50" s="189" t="str">
        <f t="shared" si="9"/>
        <v/>
      </c>
      <c r="AK50" s="320" t="str">
        <f t="shared" si="10"/>
        <v/>
      </c>
      <c r="AL50" s="320" t="str">
        <f t="shared" si="11"/>
        <v/>
      </c>
      <c r="AM50" s="320" t="str">
        <f t="shared" si="12"/>
        <v/>
      </c>
      <c r="AN50" s="320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45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58"/>
      <c r="P51" s="458"/>
      <c r="Q51" s="458"/>
      <c r="R51" s="459"/>
      <c r="S51" s="460"/>
      <c r="T51" s="36"/>
      <c r="U51" s="59"/>
      <c r="V51" s="40"/>
      <c r="W51" s="41"/>
      <c r="X51" s="39"/>
      <c r="Y51" s="39"/>
      <c r="Z51" s="36"/>
      <c r="AA51" s="43"/>
      <c r="AB51" s="458"/>
      <c r="AC51" s="458"/>
      <c r="AD51" s="36"/>
      <c r="AF51" s="464"/>
      <c r="AG51" s="464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58"/>
      <c r="P52" s="458"/>
      <c r="Q52" s="458"/>
      <c r="R52" s="459"/>
      <c r="S52" s="460"/>
      <c r="T52" s="36"/>
      <c r="U52" s="59"/>
      <c r="V52" s="40"/>
      <c r="W52" s="41"/>
      <c r="X52" s="39"/>
      <c r="Y52" s="39"/>
      <c r="Z52" s="36"/>
      <c r="AA52" s="43"/>
      <c r="AB52" s="458"/>
      <c r="AC52" s="458"/>
      <c r="AD52" s="36"/>
      <c r="AF52" s="464"/>
      <c r="AG52" s="464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58"/>
      <c r="P53" s="458"/>
      <c r="Q53" s="458"/>
      <c r="R53" s="459"/>
      <c r="S53" s="460"/>
      <c r="T53" s="36"/>
      <c r="U53" s="59"/>
      <c r="V53" s="40"/>
      <c r="W53" s="41"/>
      <c r="X53" s="39"/>
      <c r="Y53" s="39"/>
      <c r="Z53" s="36"/>
      <c r="AA53" s="43"/>
      <c r="AB53" s="458"/>
      <c r="AC53" s="458"/>
      <c r="AD53" s="36"/>
      <c r="AF53" s="464"/>
      <c r="AG53" s="464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58"/>
      <c r="P54" s="458"/>
      <c r="Q54" s="458"/>
      <c r="R54" s="459"/>
      <c r="S54" s="460"/>
      <c r="T54" s="36"/>
      <c r="U54" s="59"/>
      <c r="V54" s="40"/>
      <c r="W54" s="41"/>
      <c r="X54" s="39"/>
      <c r="Y54" s="39"/>
      <c r="Z54" s="36"/>
      <c r="AA54" s="43"/>
      <c r="AB54" s="458"/>
      <c r="AC54" s="458"/>
      <c r="AD54" s="36"/>
      <c r="AF54" s="464"/>
      <c r="AG54" s="464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58"/>
      <c r="P55" s="458"/>
      <c r="Q55" s="458"/>
      <c r="R55" s="459"/>
      <c r="S55" s="460"/>
      <c r="T55" s="36"/>
      <c r="U55" s="59"/>
      <c r="V55" s="40"/>
      <c r="W55" s="41"/>
      <c r="X55" s="39"/>
      <c r="Y55" s="39"/>
      <c r="Z55" s="36"/>
      <c r="AA55" s="43"/>
      <c r="AB55" s="458"/>
      <c r="AC55" s="458"/>
      <c r="AD55" s="36"/>
      <c r="AF55" s="464"/>
      <c r="AG55" s="464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58"/>
      <c r="P56" s="458"/>
      <c r="Q56" s="458"/>
      <c r="R56" s="459"/>
      <c r="S56" s="460"/>
      <c r="T56" s="36"/>
      <c r="U56" s="59"/>
      <c r="V56" s="40"/>
      <c r="W56" s="41"/>
      <c r="X56" s="39"/>
      <c r="Y56" s="39"/>
      <c r="Z56" s="36"/>
      <c r="AA56" s="43"/>
      <c r="AB56" s="458"/>
      <c r="AC56" s="458"/>
      <c r="AD56" s="36"/>
      <c r="AF56" s="464"/>
      <c r="AG56" s="464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58"/>
      <c r="P57" s="458"/>
      <c r="Q57" s="458"/>
      <c r="R57" s="459"/>
      <c r="S57" s="460"/>
      <c r="T57" s="36"/>
      <c r="U57" s="59"/>
      <c r="V57" s="40"/>
      <c r="W57" s="41"/>
      <c r="X57" s="39"/>
      <c r="Y57" s="39"/>
      <c r="Z57" s="36"/>
      <c r="AA57" s="43"/>
      <c r="AB57" s="458"/>
      <c r="AC57" s="458"/>
      <c r="AD57" s="36"/>
      <c r="AF57" s="464"/>
      <c r="AG57" s="464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58"/>
      <c r="P58" s="458"/>
      <c r="Q58" s="458"/>
      <c r="R58" s="459"/>
      <c r="S58" s="460"/>
      <c r="T58" s="36"/>
      <c r="U58" s="59"/>
      <c r="V58" s="40"/>
      <c r="W58" s="41"/>
      <c r="X58" s="39"/>
      <c r="Y58" s="39"/>
      <c r="Z58" s="36"/>
      <c r="AA58" s="43"/>
      <c r="AB58" s="458"/>
      <c r="AC58" s="458"/>
      <c r="AD58" s="36"/>
      <c r="AF58" s="464"/>
      <c r="AG58" s="464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58"/>
      <c r="P59" s="458"/>
      <c r="Q59" s="458"/>
      <c r="R59" s="458"/>
      <c r="S59" s="460"/>
      <c r="T59" s="36"/>
      <c r="U59" s="59"/>
      <c r="V59" s="40"/>
      <c r="W59" s="41"/>
      <c r="X59" s="39"/>
      <c r="Y59" s="39"/>
      <c r="Z59" s="36"/>
      <c r="AA59" s="43"/>
      <c r="AB59" s="458"/>
      <c r="AC59" s="458"/>
      <c r="AD59" s="36"/>
      <c r="AF59" s="464"/>
      <c r="AG59" s="464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58"/>
      <c r="P60" s="458"/>
      <c r="Q60" s="458"/>
      <c r="R60" s="458"/>
      <c r="S60" s="460"/>
      <c r="T60" s="36"/>
      <c r="U60" s="59"/>
      <c r="V60" s="40"/>
      <c r="W60" s="41"/>
      <c r="X60" s="39"/>
      <c r="Y60" s="39"/>
      <c r="Z60" s="36"/>
      <c r="AA60" s="43"/>
      <c r="AB60" s="458"/>
      <c r="AC60" s="458"/>
      <c r="AD60" s="36"/>
      <c r="AF60" s="464"/>
      <c r="AG60" s="464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58"/>
      <c r="P61" s="458"/>
      <c r="Q61" s="458"/>
      <c r="R61" s="458"/>
      <c r="S61" s="460"/>
      <c r="T61" s="36"/>
      <c r="U61" s="59"/>
      <c r="V61" s="40"/>
      <c r="W61" s="41"/>
      <c r="X61" s="39"/>
      <c r="Y61" s="39"/>
      <c r="Z61" s="36"/>
      <c r="AA61" s="43"/>
      <c r="AB61" s="458"/>
      <c r="AC61" s="458"/>
      <c r="AD61" s="36"/>
      <c r="AF61" s="464"/>
      <c r="AG61" s="464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58"/>
      <c r="P62" s="458"/>
      <c r="Q62" s="458"/>
      <c r="R62" s="458"/>
      <c r="S62" s="460"/>
      <c r="T62" s="36"/>
      <c r="U62" s="59"/>
      <c r="V62" s="40"/>
      <c r="W62" s="41"/>
      <c r="X62" s="39"/>
      <c r="Y62" s="39"/>
      <c r="Z62" s="36"/>
      <c r="AA62" s="43"/>
      <c r="AB62" s="458"/>
      <c r="AC62" s="458"/>
      <c r="AD62" s="36"/>
      <c r="AF62" s="464"/>
      <c r="AG62" s="464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58"/>
      <c r="P63" s="458"/>
      <c r="Q63" s="458"/>
      <c r="R63" s="458"/>
      <c r="S63" s="460"/>
      <c r="T63" s="36"/>
      <c r="U63" s="59"/>
      <c r="V63" s="40"/>
      <c r="W63" s="41"/>
      <c r="X63" s="39"/>
      <c r="Y63" s="39"/>
      <c r="Z63" s="36"/>
      <c r="AA63" s="43"/>
      <c r="AB63" s="458"/>
      <c r="AC63" s="458"/>
      <c r="AD63" s="36"/>
      <c r="AF63" s="464"/>
      <c r="AG63" s="464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58"/>
      <c r="P64" s="458"/>
      <c r="Q64" s="458"/>
      <c r="R64" s="458"/>
      <c r="S64" s="460"/>
      <c r="T64" s="36"/>
      <c r="U64" s="39"/>
      <c r="V64" s="40"/>
      <c r="W64" s="41"/>
      <c r="X64" s="39"/>
      <c r="Y64" s="39"/>
      <c r="Z64" s="36"/>
      <c r="AA64" s="43"/>
      <c r="AB64" s="458"/>
      <c r="AC64" s="458"/>
      <c r="AD64" s="36"/>
      <c r="AF64" s="464"/>
      <c r="AG64" s="464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58"/>
      <c r="P65" s="458"/>
      <c r="Q65" s="458"/>
      <c r="R65" s="458"/>
      <c r="S65" s="460"/>
      <c r="T65" s="36"/>
      <c r="U65" s="39"/>
      <c r="V65" s="40"/>
      <c r="W65" s="41"/>
      <c r="X65" s="39"/>
      <c r="Y65" s="39"/>
      <c r="Z65" s="36"/>
      <c r="AA65" s="43"/>
      <c r="AB65" s="458"/>
      <c r="AC65" s="458"/>
      <c r="AD65" s="36"/>
      <c r="AF65" s="464"/>
      <c r="AG65" s="464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58"/>
      <c r="P66" s="458"/>
      <c r="Q66" s="458"/>
      <c r="R66" s="458"/>
      <c r="S66" s="460"/>
      <c r="T66" s="36"/>
      <c r="U66" s="39"/>
      <c r="V66" s="40"/>
      <c r="W66" s="41"/>
      <c r="X66" s="39"/>
      <c r="Y66" s="39"/>
      <c r="Z66" s="36"/>
      <c r="AA66" s="43"/>
      <c r="AB66" s="458"/>
      <c r="AC66" s="458"/>
      <c r="AD66" s="36"/>
      <c r="AF66" s="464"/>
      <c r="AG66" s="464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58"/>
      <c r="P67" s="458"/>
      <c r="Q67" s="458"/>
      <c r="R67" s="458"/>
      <c r="S67" s="460"/>
      <c r="T67" s="36"/>
      <c r="U67" s="39"/>
      <c r="V67" s="40"/>
      <c r="W67" s="41"/>
      <c r="X67" s="39"/>
      <c r="Y67" s="39"/>
      <c r="Z67" s="36"/>
      <c r="AA67" s="43"/>
      <c r="AB67" s="458"/>
      <c r="AC67" s="458"/>
      <c r="AD67" s="36"/>
      <c r="AF67" s="464"/>
      <c r="AG67" s="464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49"/>
      <c r="P68" s="449"/>
      <c r="Q68" s="449"/>
      <c r="R68" s="449"/>
      <c r="S68" s="461"/>
      <c r="T68" s="43"/>
      <c r="U68" s="55"/>
      <c r="V68" s="56"/>
      <c r="W68" s="57"/>
      <c r="X68" s="55"/>
      <c r="Y68" s="55"/>
      <c r="Z68" s="43"/>
      <c r="AA68" s="43"/>
      <c r="AB68" s="458"/>
      <c r="AC68" s="458"/>
      <c r="AD68" s="36"/>
      <c r="AF68" s="464"/>
      <c r="AG68" s="464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49"/>
      <c r="P69" s="449"/>
      <c r="Q69" s="449"/>
      <c r="R69" s="449"/>
      <c r="S69" s="461"/>
      <c r="T69" s="43"/>
      <c r="U69" s="55"/>
      <c r="V69" s="56"/>
      <c r="W69" s="57"/>
      <c r="X69" s="55"/>
      <c r="Y69" s="55"/>
      <c r="Z69" s="43"/>
      <c r="AA69" s="43"/>
      <c r="AB69" s="458"/>
      <c r="AC69" s="458"/>
      <c r="AD69" s="36"/>
      <c r="AF69" s="464"/>
      <c r="AG69" s="464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49"/>
      <c r="P70" s="449"/>
      <c r="Q70" s="449"/>
      <c r="R70" s="449"/>
      <c r="S70" s="461"/>
      <c r="T70" s="43"/>
      <c r="U70" s="55"/>
      <c r="V70" s="56"/>
      <c r="W70" s="57"/>
      <c r="X70" s="55"/>
      <c r="Y70" s="55"/>
      <c r="Z70" s="43"/>
      <c r="AA70" s="43"/>
      <c r="AB70" s="458"/>
      <c r="AC70" s="458"/>
      <c r="AD70" s="36"/>
      <c r="AF70" s="464"/>
      <c r="AG70" s="464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49"/>
      <c r="P71" s="449"/>
      <c r="Q71" s="449"/>
      <c r="R71" s="449"/>
      <c r="S71" s="461"/>
      <c r="T71" s="43"/>
      <c r="U71" s="55"/>
      <c r="V71" s="56"/>
      <c r="W71" s="57"/>
      <c r="X71" s="55"/>
      <c r="Y71" s="55"/>
      <c r="Z71" s="43"/>
      <c r="AA71" s="43"/>
      <c r="AB71" s="458"/>
      <c r="AC71" s="458"/>
      <c r="AD71" s="36"/>
      <c r="AF71" s="464"/>
      <c r="AG71" s="464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49"/>
      <c r="P72" s="449"/>
      <c r="Q72" s="449"/>
      <c r="R72" s="449"/>
      <c r="S72" s="461"/>
      <c r="T72" s="43"/>
      <c r="U72" s="55"/>
      <c r="V72" s="56"/>
      <c r="W72" s="57"/>
      <c r="X72" s="55"/>
      <c r="Y72" s="55"/>
      <c r="Z72" s="43"/>
      <c r="AA72" s="43"/>
      <c r="AB72" s="458"/>
      <c r="AC72" s="458"/>
      <c r="AD72" s="36"/>
      <c r="AF72" s="458"/>
      <c r="AG72" s="449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49"/>
      <c r="P73" s="449"/>
      <c r="Q73" s="449"/>
      <c r="R73" s="449"/>
      <c r="S73" s="461"/>
      <c r="T73" s="43"/>
      <c r="U73" s="55"/>
      <c r="V73" s="56"/>
      <c r="W73" s="57"/>
      <c r="X73" s="55"/>
      <c r="Y73" s="55"/>
      <c r="Z73" s="43"/>
      <c r="AA73" s="43"/>
      <c r="AB73" s="458"/>
      <c r="AC73" s="458"/>
      <c r="AD73" s="36"/>
      <c r="AF73" s="458"/>
      <c r="AG73" s="449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49"/>
      <c r="P74" s="449"/>
      <c r="Q74" s="449"/>
      <c r="R74" s="449"/>
      <c r="S74" s="461"/>
      <c r="T74" s="43"/>
      <c r="U74" s="55"/>
      <c r="V74" s="56"/>
      <c r="W74" s="57"/>
      <c r="X74" s="55"/>
      <c r="Y74" s="55"/>
      <c r="Z74" s="43"/>
      <c r="AA74" s="43"/>
      <c r="AB74" s="458"/>
      <c r="AC74" s="458"/>
      <c r="AD74" s="36"/>
      <c r="AF74" s="458"/>
      <c r="AG74" s="449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49"/>
      <c r="P75" s="449"/>
      <c r="Q75" s="449"/>
      <c r="R75" s="449"/>
      <c r="S75" s="461"/>
      <c r="T75" s="43"/>
      <c r="U75" s="55"/>
      <c r="V75" s="56"/>
      <c r="W75" s="57"/>
      <c r="X75" s="55"/>
      <c r="Y75" s="55"/>
      <c r="Z75" s="43"/>
      <c r="AA75" s="43"/>
      <c r="AB75" s="458"/>
      <c r="AC75" s="458"/>
      <c r="AD75" s="36"/>
      <c r="AF75" s="458"/>
      <c r="AG75" s="449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49"/>
      <c r="P76" s="449"/>
      <c r="Q76" s="449"/>
      <c r="R76" s="449"/>
      <c r="S76" s="461"/>
      <c r="T76" s="43"/>
      <c r="U76" s="55"/>
      <c r="V76" s="56"/>
      <c r="W76" s="57"/>
      <c r="X76" s="55"/>
      <c r="Y76" s="55"/>
      <c r="Z76" s="43"/>
      <c r="AA76" s="43"/>
      <c r="AB76" s="458"/>
      <c r="AC76" s="458"/>
      <c r="AD76" s="36"/>
      <c r="AF76" s="458"/>
      <c r="AG76" s="449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49"/>
      <c r="P77" s="449"/>
      <c r="Q77" s="449"/>
      <c r="R77" s="449"/>
      <c r="S77" s="461"/>
      <c r="T77" s="43"/>
      <c r="U77" s="55"/>
      <c r="V77" s="56"/>
      <c r="W77" s="57"/>
      <c r="X77" s="55"/>
      <c r="Y77" s="55"/>
      <c r="Z77" s="43"/>
      <c r="AA77" s="43"/>
      <c r="AB77" s="458"/>
      <c r="AC77" s="458"/>
      <c r="AD77" s="36"/>
      <c r="AF77" s="458"/>
      <c r="AG77" s="449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49"/>
      <c r="P78" s="449"/>
      <c r="Q78" s="449"/>
      <c r="R78" s="449"/>
      <c r="S78" s="461"/>
      <c r="T78" s="43"/>
      <c r="U78" s="55"/>
      <c r="V78" s="56"/>
      <c r="W78" s="57"/>
      <c r="X78" s="55"/>
      <c r="Y78" s="55"/>
      <c r="Z78" s="43"/>
      <c r="AA78" s="43"/>
      <c r="AB78" s="449"/>
      <c r="AC78" s="449"/>
      <c r="AD78" s="43"/>
      <c r="AF78" s="449"/>
      <c r="AG78" s="449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49"/>
      <c r="P79" s="449"/>
      <c r="Q79" s="449"/>
      <c r="R79" s="449"/>
      <c r="S79" s="461"/>
      <c r="T79" s="43"/>
      <c r="U79" s="55"/>
      <c r="V79" s="56"/>
      <c r="W79" s="57"/>
      <c r="X79" s="55"/>
      <c r="Y79" s="55"/>
      <c r="Z79" s="43"/>
      <c r="AA79" s="43"/>
      <c r="AB79" s="449"/>
      <c r="AC79" s="449"/>
      <c r="AD79" s="43"/>
      <c r="AF79" s="449"/>
      <c r="AG79" s="449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49"/>
      <c r="P80" s="449"/>
      <c r="Q80" s="449"/>
      <c r="R80" s="449"/>
      <c r="S80" s="461"/>
      <c r="T80" s="43"/>
      <c r="U80" s="55"/>
      <c r="V80" s="56"/>
      <c r="W80" s="57"/>
      <c r="X80" s="55"/>
      <c r="Y80" s="55"/>
      <c r="Z80" s="43"/>
      <c r="AA80" s="43"/>
      <c r="AB80" s="449"/>
      <c r="AC80" s="449"/>
      <c r="AD80" s="43"/>
      <c r="AF80" s="449"/>
      <c r="AG80" s="449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49"/>
      <c r="P81" s="449"/>
      <c r="Q81" s="449"/>
      <c r="R81" s="449"/>
      <c r="S81" s="461"/>
      <c r="T81" s="43"/>
      <c r="U81" s="55"/>
      <c r="V81" s="56"/>
      <c r="W81" s="57"/>
      <c r="X81" s="55"/>
      <c r="Y81" s="55"/>
      <c r="Z81" s="43"/>
      <c r="AA81" s="43"/>
      <c r="AB81" s="449"/>
      <c r="AC81" s="449"/>
      <c r="AD81" s="43"/>
      <c r="AF81" s="449"/>
      <c r="AG81" s="449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49"/>
      <c r="P82" s="449"/>
      <c r="Q82" s="449"/>
      <c r="R82" s="449"/>
      <c r="S82" s="461"/>
      <c r="T82" s="43"/>
      <c r="U82" s="55"/>
      <c r="V82" s="56"/>
      <c r="W82" s="57"/>
      <c r="X82" s="55"/>
      <c r="Y82" s="55"/>
      <c r="Z82" s="43"/>
      <c r="AA82" s="43"/>
      <c r="AB82" s="449"/>
      <c r="AC82" s="449"/>
      <c r="AD82" s="43"/>
      <c r="AF82" s="449"/>
      <c r="AG82" s="449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X3:X4"/>
    <mergeCell ref="H3:H4"/>
    <mergeCell ref="P3:P4"/>
    <mergeCell ref="R3:R4"/>
    <mergeCell ref="T3:T4"/>
    <mergeCell ref="M3:M4"/>
    <mergeCell ref="N3:N4"/>
    <mergeCell ref="A3:A4"/>
    <mergeCell ref="B3:B4"/>
    <mergeCell ref="C3:C4"/>
    <mergeCell ref="D3:D4"/>
    <mergeCell ref="E3:E4"/>
    <mergeCell ref="AJ1:AN1"/>
    <mergeCell ref="AB1:AD1"/>
    <mergeCell ref="AF1:AH1"/>
    <mergeCell ref="A1:Z1"/>
    <mergeCell ref="B2:L2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722" priority="615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721" priority="614" operator="containsText" text="직접입력">
      <formula>NOT(ISERROR(SEARCH("직접입력",F1)))</formula>
    </cfRule>
  </conditionalFormatting>
  <conditionalFormatting sqref="K1:K6 K51:K1048576">
    <cfRule type="containsText" dxfId="720" priority="613" operator="containsText" text="세부사업명 입력">
      <formula>NOT(ISERROR(SEARCH("세부사업명 입력",K1)))</formula>
    </cfRule>
  </conditionalFormatting>
  <conditionalFormatting sqref="L1:N2 L6 L3:L4 L51:N1048576">
    <cfRule type="containsText" dxfId="719" priority="612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718" priority="611" operator="containsText" text="직접입력">
      <formula>NOT(ISERROR(SEARCH("직접입력",AJ7)))</formula>
    </cfRule>
  </conditionalFormatting>
  <conditionalFormatting sqref="L5">
    <cfRule type="containsText" dxfId="717" priority="610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716" priority="392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715" priority="391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714" priority="390" operator="containsText" text="금액입력">
      <formula>NOT(ISERROR(SEARCH("금액입력",O7)))</formula>
    </cfRule>
  </conditionalFormatting>
  <conditionalFormatting sqref="M6:S6">
    <cfRule type="containsText" dxfId="713" priority="386" operator="containsText" text="금액입력">
      <formula>NOT(ISERROR(SEARCH("금액입력",M6)))</formula>
    </cfRule>
  </conditionalFormatting>
  <conditionalFormatting sqref="M5:N5">
    <cfRule type="containsText" dxfId="712" priority="385" operator="containsText" text="금액입력">
      <formula>NOT(ISERROR(SEARCH("금액입력",M5)))</formula>
    </cfRule>
  </conditionalFormatting>
  <conditionalFormatting sqref="K11">
    <cfRule type="containsText" dxfId="711" priority="383" operator="containsText" text="세부사업명 입력">
      <formula>NOT(ISERROR(SEARCH("세부사업명 입력",K11)))</formula>
    </cfRule>
  </conditionalFormatting>
  <conditionalFormatting sqref="L11">
    <cfRule type="containsText" dxfId="710" priority="382" operator="containsText" text="부기명 입력">
      <formula>NOT(ISERROR(SEARCH("부기명 입력",L11)))</formula>
    </cfRule>
  </conditionalFormatting>
  <conditionalFormatting sqref="M11:S11">
    <cfRule type="containsText" dxfId="709" priority="375" operator="containsText" text="금액입력">
      <formula>NOT(ISERROR(SEARCH("금액입력",M11)))</formula>
    </cfRule>
  </conditionalFormatting>
  <conditionalFormatting sqref="K16">
    <cfRule type="containsText" dxfId="708" priority="373" operator="containsText" text="세부사업명 입력">
      <formula>NOT(ISERROR(SEARCH("세부사업명 입력",K16)))</formula>
    </cfRule>
  </conditionalFormatting>
  <conditionalFormatting sqref="L16">
    <cfRule type="containsText" dxfId="707" priority="372" operator="containsText" text="부기명 입력">
      <formula>NOT(ISERROR(SEARCH("부기명 입력",L16)))</formula>
    </cfRule>
  </conditionalFormatting>
  <conditionalFormatting sqref="M16:S16">
    <cfRule type="containsText" dxfId="706" priority="365" operator="containsText" text="금액입력">
      <formula>NOT(ISERROR(SEARCH("금액입력",M16)))</formula>
    </cfRule>
  </conditionalFormatting>
  <conditionalFormatting sqref="K21">
    <cfRule type="containsText" dxfId="705" priority="363" operator="containsText" text="세부사업명 입력">
      <formula>NOT(ISERROR(SEARCH("세부사업명 입력",K21)))</formula>
    </cfRule>
  </conditionalFormatting>
  <conditionalFormatting sqref="L21">
    <cfRule type="containsText" dxfId="704" priority="362" operator="containsText" text="부기명 입력">
      <formula>NOT(ISERROR(SEARCH("부기명 입력",L21)))</formula>
    </cfRule>
  </conditionalFormatting>
  <conditionalFormatting sqref="M21:S21">
    <cfRule type="containsText" dxfId="703" priority="355" operator="containsText" text="금액입력">
      <formula>NOT(ISERROR(SEARCH("금액입력",M21)))</formula>
    </cfRule>
  </conditionalFormatting>
  <conditionalFormatting sqref="K26">
    <cfRule type="containsText" dxfId="702" priority="353" operator="containsText" text="세부사업명 입력">
      <formula>NOT(ISERROR(SEARCH("세부사업명 입력",K26)))</formula>
    </cfRule>
  </conditionalFormatting>
  <conditionalFormatting sqref="L26">
    <cfRule type="containsText" dxfId="701" priority="352" operator="containsText" text="부기명 입력">
      <formula>NOT(ISERROR(SEARCH("부기명 입력",L26)))</formula>
    </cfRule>
  </conditionalFormatting>
  <conditionalFormatting sqref="M26:S26">
    <cfRule type="containsText" dxfId="700" priority="345" operator="containsText" text="금액입력">
      <formula>NOT(ISERROR(SEARCH("금액입력",M26)))</formula>
    </cfRule>
  </conditionalFormatting>
  <conditionalFormatting sqref="K31">
    <cfRule type="containsText" dxfId="699" priority="343" operator="containsText" text="세부사업명 입력">
      <formula>NOT(ISERROR(SEARCH("세부사업명 입력",K31)))</formula>
    </cfRule>
  </conditionalFormatting>
  <conditionalFormatting sqref="L31">
    <cfRule type="containsText" dxfId="698" priority="342" operator="containsText" text="부기명 입력">
      <formula>NOT(ISERROR(SEARCH("부기명 입력",L31)))</formula>
    </cfRule>
  </conditionalFormatting>
  <conditionalFormatting sqref="M31:S31">
    <cfRule type="containsText" dxfId="697" priority="335" operator="containsText" text="금액입력">
      <formula>NOT(ISERROR(SEARCH("금액입력",M31)))</formula>
    </cfRule>
  </conditionalFormatting>
  <conditionalFormatting sqref="K36">
    <cfRule type="containsText" dxfId="696" priority="333" operator="containsText" text="세부사업명 입력">
      <formula>NOT(ISERROR(SEARCH("세부사업명 입력",K36)))</formula>
    </cfRule>
  </conditionalFormatting>
  <conditionalFormatting sqref="L36">
    <cfRule type="containsText" dxfId="695" priority="332" operator="containsText" text="부기명 입력">
      <formula>NOT(ISERROR(SEARCH("부기명 입력",L36)))</formula>
    </cfRule>
  </conditionalFormatting>
  <conditionalFormatting sqref="M36:S36">
    <cfRule type="containsText" dxfId="694" priority="325" operator="containsText" text="금액입력">
      <formula>NOT(ISERROR(SEARCH("금액입력",M36)))</formula>
    </cfRule>
  </conditionalFormatting>
  <conditionalFormatting sqref="K41">
    <cfRule type="containsText" dxfId="693" priority="323" operator="containsText" text="세부사업명 입력">
      <formula>NOT(ISERROR(SEARCH("세부사업명 입력",K41)))</formula>
    </cfRule>
  </conditionalFormatting>
  <conditionalFormatting sqref="L41">
    <cfRule type="containsText" dxfId="692" priority="322" operator="containsText" text="부기명 입력">
      <formula>NOT(ISERROR(SEARCH("부기명 입력",L41)))</formula>
    </cfRule>
  </conditionalFormatting>
  <conditionalFormatting sqref="M41:S41">
    <cfRule type="containsText" dxfId="691" priority="315" operator="containsText" text="금액입력">
      <formula>NOT(ISERROR(SEARCH("금액입력",M41)))</formula>
    </cfRule>
  </conditionalFormatting>
  <conditionalFormatting sqref="K46">
    <cfRule type="containsText" dxfId="690" priority="313" operator="containsText" text="세부사업명 입력">
      <formula>NOT(ISERROR(SEARCH("세부사업명 입력",K46)))</formula>
    </cfRule>
  </conditionalFormatting>
  <conditionalFormatting sqref="L46">
    <cfRule type="containsText" dxfId="689" priority="312" operator="containsText" text="부기명 입력">
      <formula>NOT(ISERROR(SEARCH("부기명 입력",L46)))</formula>
    </cfRule>
  </conditionalFormatting>
  <conditionalFormatting sqref="M46:S46">
    <cfRule type="containsText" dxfId="688" priority="305" operator="containsText" text="금액입력">
      <formula>NOT(ISERROR(SEARCH("금액입력",M46)))</formula>
    </cfRule>
  </conditionalFormatting>
  <conditionalFormatting sqref="O3:O4">
    <cfRule type="containsText" dxfId="687" priority="304" operator="containsText" text="금액입력">
      <formula>NOT(ISERROR(SEARCH("금액입력",O3)))</formula>
    </cfRule>
  </conditionalFormatting>
  <conditionalFormatting sqref="F3:G4">
    <cfRule type="containsText" dxfId="686" priority="302" operator="containsText" text="직접입력">
      <formula>NOT(ISERROR(SEARCH("직접입력",F3)))</formula>
    </cfRule>
  </conditionalFormatting>
  <conditionalFormatting sqref="AF11 AB11">
    <cfRule type="containsText" dxfId="685" priority="285" operator="containsText" text="금액입력">
      <formula>NOT(ISERROR(SEARCH("금액입력",AB11)))</formula>
    </cfRule>
  </conditionalFormatting>
  <conditionalFormatting sqref="AF16 AB16">
    <cfRule type="containsText" dxfId="684" priority="283" operator="containsText" text="금액입력">
      <formula>NOT(ISERROR(SEARCH("금액입력",AB16)))</formula>
    </cfRule>
  </conditionalFormatting>
  <conditionalFormatting sqref="AF21 AB21">
    <cfRule type="containsText" dxfId="683" priority="281" operator="containsText" text="금액입력">
      <formula>NOT(ISERROR(SEARCH("금액입력",AB21)))</formula>
    </cfRule>
  </conditionalFormatting>
  <conditionalFormatting sqref="AF26 AB26">
    <cfRule type="containsText" dxfId="682" priority="279" operator="containsText" text="금액입력">
      <formula>NOT(ISERROR(SEARCH("금액입력",AB26)))</formula>
    </cfRule>
  </conditionalFormatting>
  <conditionalFormatting sqref="AF31 AB31">
    <cfRule type="containsText" dxfId="681" priority="277" operator="containsText" text="금액입력">
      <formula>NOT(ISERROR(SEARCH("금액입력",AB31)))</formula>
    </cfRule>
  </conditionalFormatting>
  <conditionalFormatting sqref="AF36 AB36">
    <cfRule type="containsText" dxfId="680" priority="275" operator="containsText" text="금액입력">
      <formula>NOT(ISERROR(SEARCH("금액입력",AB36)))</formula>
    </cfRule>
  </conditionalFormatting>
  <conditionalFormatting sqref="AF41 AB41">
    <cfRule type="containsText" dxfId="679" priority="273" operator="containsText" text="금액입력">
      <formula>NOT(ISERROR(SEARCH("금액입력",AB41)))</formula>
    </cfRule>
  </conditionalFormatting>
  <conditionalFormatting sqref="AF46 AB46">
    <cfRule type="containsText" dxfId="678" priority="271" operator="containsText" text="금액입력">
      <formula>NOT(ISERROR(SEARCH("금액입력",AB46)))</formula>
    </cfRule>
  </conditionalFormatting>
  <conditionalFormatting sqref="AC2">
    <cfRule type="containsText" dxfId="677" priority="269" operator="containsText" text="금액입력">
      <formula>NOT(ISERROR(SEARCH("금액입력",AC2)))</formula>
    </cfRule>
  </conditionalFormatting>
  <conditionalFormatting sqref="AF2">
    <cfRule type="containsText" dxfId="676" priority="268" operator="containsText" text="금액입력">
      <formula>NOT(ISERROR(SEARCH("금액입력",AF2)))</formula>
    </cfRule>
  </conditionalFormatting>
  <conditionalFormatting sqref="AG2">
    <cfRule type="containsText" dxfId="675" priority="267" operator="containsText" text="금액입력">
      <formula>NOT(ISERROR(SEARCH("금액입력",AG2)))</formula>
    </cfRule>
  </conditionalFormatting>
  <conditionalFormatting sqref="M3:N4">
    <cfRule type="containsText" dxfId="674" priority="266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673" priority="217" operator="containsText" text="직접입력">
      <formula>NOT(ISERROR(SEARCH("직접입력",B7)))</formula>
    </cfRule>
  </conditionalFormatting>
  <conditionalFormatting sqref="F7:G10">
    <cfRule type="containsText" dxfId="672" priority="171" operator="containsText" text="직접입력">
      <formula>NOT(ISERROR(SEARCH("직접입력",F7)))</formula>
    </cfRule>
  </conditionalFormatting>
  <conditionalFormatting sqref="M7:M10">
    <cfRule type="containsText" dxfId="671" priority="145" operator="containsText" text="부기명 입력">
      <formula>NOT(ISERROR(SEARCH("부기명 입력",M7)))</formula>
    </cfRule>
  </conditionalFormatting>
  <conditionalFormatting sqref="M7:M10">
    <cfRule type="containsText" dxfId="670" priority="144" operator="containsText" text="금액입력">
      <formula>NOT(ISERROR(SEARCH("금액입력",M7)))</formula>
    </cfRule>
  </conditionalFormatting>
  <conditionalFormatting sqref="N7:N10">
    <cfRule type="containsText" dxfId="669" priority="143" operator="containsText" text="금액입력">
      <formula>NOT(ISERROR(SEARCH("금액입력",N7)))</formula>
    </cfRule>
  </conditionalFormatting>
  <conditionalFormatting sqref="F12:G15">
    <cfRule type="containsText" dxfId="668" priority="32" operator="containsText" text="직접입력">
      <formula>NOT(ISERROR(SEARCH("직접입력",F12)))</formula>
    </cfRule>
  </conditionalFormatting>
  <conditionalFormatting sqref="F17:G20">
    <cfRule type="containsText" dxfId="667" priority="31" operator="containsText" text="직접입력">
      <formula>NOT(ISERROR(SEARCH("직접입력",F17)))</formula>
    </cfRule>
  </conditionalFormatting>
  <conditionalFormatting sqref="F22:G25">
    <cfRule type="containsText" dxfId="666" priority="30" operator="containsText" text="직접입력">
      <formula>NOT(ISERROR(SEARCH("직접입력",F22)))</formula>
    </cfRule>
  </conditionalFormatting>
  <conditionalFormatting sqref="F27:G30">
    <cfRule type="containsText" dxfId="665" priority="29" operator="containsText" text="직접입력">
      <formula>NOT(ISERROR(SEARCH("직접입력",F27)))</formula>
    </cfRule>
  </conditionalFormatting>
  <conditionalFormatting sqref="F32:G35">
    <cfRule type="containsText" dxfId="664" priority="28" operator="containsText" text="직접입력">
      <formula>NOT(ISERROR(SEARCH("직접입력",F32)))</formula>
    </cfRule>
  </conditionalFormatting>
  <conditionalFormatting sqref="F37:G40">
    <cfRule type="containsText" dxfId="663" priority="27" operator="containsText" text="직접입력">
      <formula>NOT(ISERROR(SEARCH("직접입력",F37)))</formula>
    </cfRule>
  </conditionalFormatting>
  <conditionalFormatting sqref="F42:G45">
    <cfRule type="containsText" dxfId="662" priority="26" operator="containsText" text="직접입력">
      <formula>NOT(ISERROR(SEARCH("직접입력",F42)))</formula>
    </cfRule>
  </conditionalFormatting>
  <conditionalFormatting sqref="F47:G50">
    <cfRule type="containsText" dxfId="661" priority="25" operator="containsText" text="직접입력">
      <formula>NOT(ISERROR(SEARCH("직접입력",F47)))</formula>
    </cfRule>
  </conditionalFormatting>
  <conditionalFormatting sqref="M12:M15">
    <cfRule type="containsText" dxfId="660" priority="24" operator="containsText" text="부기명 입력">
      <formula>NOT(ISERROR(SEARCH("부기명 입력",M12)))</formula>
    </cfRule>
  </conditionalFormatting>
  <conditionalFormatting sqref="M12:M15">
    <cfRule type="containsText" dxfId="659" priority="23" operator="containsText" text="금액입력">
      <formula>NOT(ISERROR(SEARCH("금액입력",M12)))</formula>
    </cfRule>
  </conditionalFormatting>
  <conditionalFormatting sqref="N12:N15">
    <cfRule type="containsText" dxfId="658" priority="22" operator="containsText" text="금액입력">
      <formula>NOT(ISERROR(SEARCH("금액입력",N12)))</formula>
    </cfRule>
  </conditionalFormatting>
  <conditionalFormatting sqref="M17:M20">
    <cfRule type="containsText" dxfId="657" priority="21" operator="containsText" text="부기명 입력">
      <formula>NOT(ISERROR(SEARCH("부기명 입력",M17)))</formula>
    </cfRule>
  </conditionalFormatting>
  <conditionalFormatting sqref="M17:M20">
    <cfRule type="containsText" dxfId="656" priority="20" operator="containsText" text="금액입력">
      <formula>NOT(ISERROR(SEARCH("금액입력",M17)))</formula>
    </cfRule>
  </conditionalFormatting>
  <conditionalFormatting sqref="N17:N20">
    <cfRule type="containsText" dxfId="655" priority="19" operator="containsText" text="금액입력">
      <formula>NOT(ISERROR(SEARCH("금액입력",N17)))</formula>
    </cfRule>
  </conditionalFormatting>
  <conditionalFormatting sqref="M22:M25">
    <cfRule type="containsText" dxfId="654" priority="18" operator="containsText" text="부기명 입력">
      <formula>NOT(ISERROR(SEARCH("부기명 입력",M22)))</formula>
    </cfRule>
  </conditionalFormatting>
  <conditionalFormatting sqref="M22:M25">
    <cfRule type="containsText" dxfId="653" priority="17" operator="containsText" text="금액입력">
      <formula>NOT(ISERROR(SEARCH("금액입력",M22)))</formula>
    </cfRule>
  </conditionalFormatting>
  <conditionalFormatting sqref="N22:N25">
    <cfRule type="containsText" dxfId="652" priority="16" operator="containsText" text="금액입력">
      <formula>NOT(ISERROR(SEARCH("금액입력",N22)))</formula>
    </cfRule>
  </conditionalFormatting>
  <conditionalFormatting sqref="M27:M30">
    <cfRule type="containsText" dxfId="651" priority="15" operator="containsText" text="부기명 입력">
      <formula>NOT(ISERROR(SEARCH("부기명 입력",M27)))</formula>
    </cfRule>
  </conditionalFormatting>
  <conditionalFormatting sqref="M27:M30">
    <cfRule type="containsText" dxfId="650" priority="14" operator="containsText" text="금액입력">
      <formula>NOT(ISERROR(SEARCH("금액입력",M27)))</formula>
    </cfRule>
  </conditionalFormatting>
  <conditionalFormatting sqref="N27:N30">
    <cfRule type="containsText" dxfId="649" priority="13" operator="containsText" text="금액입력">
      <formula>NOT(ISERROR(SEARCH("금액입력",N27)))</formula>
    </cfRule>
  </conditionalFormatting>
  <conditionalFormatting sqref="M32:M35">
    <cfRule type="containsText" dxfId="648" priority="12" operator="containsText" text="부기명 입력">
      <formula>NOT(ISERROR(SEARCH("부기명 입력",M32)))</formula>
    </cfRule>
  </conditionalFormatting>
  <conditionalFormatting sqref="M32:M35">
    <cfRule type="containsText" dxfId="647" priority="11" operator="containsText" text="금액입력">
      <formula>NOT(ISERROR(SEARCH("금액입력",M32)))</formula>
    </cfRule>
  </conditionalFormatting>
  <conditionalFormatting sqref="N32:N35">
    <cfRule type="containsText" dxfId="646" priority="10" operator="containsText" text="금액입력">
      <formula>NOT(ISERROR(SEARCH("금액입력",N32)))</formula>
    </cfRule>
  </conditionalFormatting>
  <conditionalFormatting sqref="M37:M40">
    <cfRule type="containsText" dxfId="645" priority="9" operator="containsText" text="부기명 입력">
      <formula>NOT(ISERROR(SEARCH("부기명 입력",M37)))</formula>
    </cfRule>
  </conditionalFormatting>
  <conditionalFormatting sqref="M37:M40">
    <cfRule type="containsText" dxfId="644" priority="8" operator="containsText" text="금액입력">
      <formula>NOT(ISERROR(SEARCH("금액입력",M37)))</formula>
    </cfRule>
  </conditionalFormatting>
  <conditionalFormatting sqref="N37:N40">
    <cfRule type="containsText" dxfId="643" priority="7" operator="containsText" text="금액입력">
      <formula>NOT(ISERROR(SEARCH("금액입력",N37)))</formula>
    </cfRule>
  </conditionalFormatting>
  <conditionalFormatting sqref="M42:M45">
    <cfRule type="containsText" dxfId="642" priority="6" operator="containsText" text="부기명 입력">
      <formula>NOT(ISERROR(SEARCH("부기명 입력",M42)))</formula>
    </cfRule>
  </conditionalFormatting>
  <conditionalFormatting sqref="M42:M45">
    <cfRule type="containsText" dxfId="641" priority="5" operator="containsText" text="금액입력">
      <formula>NOT(ISERROR(SEARCH("금액입력",M42)))</formula>
    </cfRule>
  </conditionalFormatting>
  <conditionalFormatting sqref="N42:N45">
    <cfRule type="containsText" dxfId="640" priority="4" operator="containsText" text="금액입력">
      <formula>NOT(ISERROR(SEARCH("금액입력",N42)))</formula>
    </cfRule>
  </conditionalFormatting>
  <conditionalFormatting sqref="M47:M50">
    <cfRule type="containsText" dxfId="639" priority="3" operator="containsText" text="부기명 입력">
      <formula>NOT(ISERROR(SEARCH("부기명 입력",M47)))</formula>
    </cfRule>
  </conditionalFormatting>
  <conditionalFormatting sqref="M47:M50">
    <cfRule type="containsText" dxfId="638" priority="2" operator="containsText" text="금액입력">
      <formula>NOT(ISERROR(SEARCH("금액입력",M47)))</formula>
    </cfRule>
  </conditionalFormatting>
  <conditionalFormatting sqref="N47:N50">
    <cfRule type="containsText" dxfId="637" priority="1" operator="containsText" text="금액입력">
      <formula>NOT(ISERROR(SEARCH("금액입력",N47)))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2:E35 E37:E40 E42:E45 E7:E10 E12:E15 E17:E20 E22:E25 E27:E30 E47:E50" xr:uid="{4AA6B1AC-97C2-4F58-BCE0-E0B68BFB964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activeCell="A48" sqref="A48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14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890" t="s">
        <v>1105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  <c r="Q1" s="890"/>
      <c r="R1" s="890"/>
      <c r="S1" s="890"/>
      <c r="T1" s="890"/>
      <c r="U1" s="890"/>
      <c r="V1" s="890"/>
      <c r="W1" s="890"/>
      <c r="X1" s="890"/>
      <c r="Y1" s="890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49"/>
      <c r="O2" s="449"/>
      <c r="P2" s="449"/>
      <c r="Q2" s="449"/>
      <c r="R2" s="450">
        <f>R6-N6</f>
        <v>0</v>
      </c>
      <c r="Y2" s="50"/>
    </row>
    <row r="3" spans="1:26" ht="24.75" customHeight="1">
      <c r="A3" s="22"/>
      <c r="O3" s="416"/>
      <c r="P3" s="416"/>
      <c r="Q3" s="416"/>
      <c r="R3" s="416"/>
      <c r="S3" s="73"/>
      <c r="X3" s="314"/>
      <c r="Y3" s="70" t="s">
        <v>114</v>
      </c>
    </row>
    <row r="4" spans="1:26" s="294" customFormat="1" ht="60" customHeight="1">
      <c r="A4" s="885" t="s">
        <v>184</v>
      </c>
      <c r="B4" s="889" t="s">
        <v>110</v>
      </c>
      <c r="C4" s="889" t="s">
        <v>111</v>
      </c>
      <c r="D4" s="889" t="s">
        <v>112</v>
      </c>
      <c r="E4" s="891" t="s">
        <v>113</v>
      </c>
      <c r="F4" s="891" t="s">
        <v>1117</v>
      </c>
      <c r="G4" s="891" t="s">
        <v>251</v>
      </c>
      <c r="H4" s="928" t="s">
        <v>148</v>
      </c>
      <c r="I4" s="931" t="s">
        <v>505</v>
      </c>
      <c r="J4" s="885" t="s">
        <v>503</v>
      </c>
      <c r="K4" s="885" t="s">
        <v>504</v>
      </c>
      <c r="L4" s="887" t="s">
        <v>2040</v>
      </c>
      <c r="M4" s="887" t="s">
        <v>1693</v>
      </c>
      <c r="N4" s="887" t="s">
        <v>1109</v>
      </c>
      <c r="O4" s="867" t="s">
        <v>1110</v>
      </c>
      <c r="P4" s="866" t="s">
        <v>1113</v>
      </c>
      <c r="Q4" s="867" t="s">
        <v>1111</v>
      </c>
      <c r="R4" s="866" t="s">
        <v>1112</v>
      </c>
      <c r="S4" s="893" t="s">
        <v>253</v>
      </c>
      <c r="T4" s="866" t="s">
        <v>255</v>
      </c>
      <c r="U4" s="866" t="s">
        <v>254</v>
      </c>
      <c r="V4" s="866" t="s">
        <v>256</v>
      </c>
      <c r="W4" s="866" t="s">
        <v>762</v>
      </c>
      <c r="X4" s="866" t="s">
        <v>298</v>
      </c>
      <c r="Y4" s="891" t="s">
        <v>924</v>
      </c>
      <c r="Z4" s="293"/>
    </row>
    <row r="5" spans="1:26" s="294" customFormat="1" ht="60" customHeight="1">
      <c r="A5" s="885"/>
      <c r="B5" s="889"/>
      <c r="C5" s="889"/>
      <c r="D5" s="889"/>
      <c r="E5" s="891"/>
      <c r="F5" s="891"/>
      <c r="G5" s="891"/>
      <c r="H5" s="930"/>
      <c r="I5" s="933"/>
      <c r="J5" s="885"/>
      <c r="K5" s="885"/>
      <c r="L5" s="888"/>
      <c r="M5" s="888"/>
      <c r="N5" s="888"/>
      <c r="O5" s="869"/>
      <c r="P5" s="892"/>
      <c r="Q5" s="869"/>
      <c r="R5" s="892"/>
      <c r="S5" s="893"/>
      <c r="T5" s="866"/>
      <c r="U5" s="866"/>
      <c r="V5" s="866"/>
      <c r="W5" s="866"/>
      <c r="X5" s="866"/>
      <c r="Y5" s="889"/>
      <c r="Z5" s="293"/>
    </row>
    <row r="6" spans="1:26" s="358" customFormat="1" ht="80.099999999999994" customHeight="1">
      <c r="A6" s="356"/>
      <c r="B6" s="149" t="s">
        <v>252</v>
      </c>
      <c r="C6" s="361"/>
      <c r="D6" s="361"/>
      <c r="E6" s="361"/>
      <c r="F6" s="361"/>
      <c r="G6" s="361"/>
      <c r="H6" s="361"/>
      <c r="I6" s="354"/>
      <c r="J6" s="354"/>
      <c r="K6" s="355" t="str">
        <f>SUBTOTAL(3,K$7:K$1959)&amp;"건"</f>
        <v>0건</v>
      </c>
      <c r="L6" s="451">
        <f t="shared" ref="L6:M6" si="0">SUBTOTAL(9,L$7:L$1959)</f>
        <v>0</v>
      </c>
      <c r="M6" s="451">
        <f t="shared" si="0"/>
        <v>0</v>
      </c>
      <c r="N6" s="451">
        <f>SUBTOTAL(9,N$7:N$1959)</f>
        <v>0</v>
      </c>
      <c r="O6" s="451">
        <f>SUBTOTAL(9,O$7:O$1959)</f>
        <v>0</v>
      </c>
      <c r="P6" s="451">
        <f>SUBTOTAL(9,P$7:P$1959)</f>
        <v>0</v>
      </c>
      <c r="Q6" s="451">
        <f>SUBTOTAL(9,Q$7:Q$1959)</f>
        <v>0</v>
      </c>
      <c r="R6" s="451">
        <f>SUBTOTAL(9,R$7:R$1959)</f>
        <v>0</v>
      </c>
      <c r="S6" s="362"/>
      <c r="T6" s="362"/>
      <c r="U6" s="362"/>
      <c r="V6" s="362"/>
      <c r="W6" s="362"/>
      <c r="X6" s="362"/>
      <c r="Y6" s="363"/>
      <c r="Z6" s="364"/>
    </row>
    <row r="7" spans="1:26" ht="69.95" customHeight="1">
      <c r="A7" s="141"/>
      <c r="B7" s="886" t="s">
        <v>1103</v>
      </c>
      <c r="C7" s="886"/>
      <c r="D7" s="886"/>
      <c r="E7" s="886"/>
      <c r="F7" s="886"/>
      <c r="G7" s="886"/>
      <c r="H7" s="496"/>
      <c r="I7" s="142"/>
      <c r="J7" s="142"/>
      <c r="K7" s="313" t="str">
        <f>SUBTOTAL(3,K8:K11)&amp;"건"</f>
        <v>0건</v>
      </c>
      <c r="L7" s="418">
        <f t="shared" ref="L7:R7" si="1">SUBTOTAL(9,L8:L11)</f>
        <v>0</v>
      </c>
      <c r="M7" s="418">
        <f t="shared" si="1"/>
        <v>0</v>
      </c>
      <c r="N7" s="418">
        <f t="shared" si="1"/>
        <v>0</v>
      </c>
      <c r="O7" s="418">
        <f t="shared" si="1"/>
        <v>0</v>
      </c>
      <c r="P7" s="418">
        <f t="shared" si="1"/>
        <v>0</v>
      </c>
      <c r="Q7" s="418">
        <f t="shared" si="1"/>
        <v>0</v>
      </c>
      <c r="R7" s="418">
        <f t="shared" si="1"/>
        <v>0</v>
      </c>
      <c r="S7" s="141"/>
      <c r="T7" s="141"/>
      <c r="U7" s="141"/>
      <c r="V7" s="141"/>
      <c r="W7" s="141"/>
      <c r="X7" s="141"/>
      <c r="Y7" s="143"/>
      <c r="Z7" s="42"/>
    </row>
    <row r="8" spans="1:26" s="135" customFormat="1" ht="69.95" customHeight="1">
      <c r="A8" s="126" t="str">
        <f>IF(D8="","",COUNTA($C$7:C8)-COUNTBLANK($C$7:C8)+1)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IF(D8="","",IF(OR(D8="교육지원과",D8="총무과",D8="인사과"),"직접입력",VLOOKUP(D8,구분표!$A$3:$C$258,3,)))</f>
        <v/>
      </c>
      <c r="D8" s="194"/>
      <c r="E8" s="181"/>
      <c r="F8" s="350" t="str">
        <f>IF($E8="","",IF($E8="2추","직접입력","-"))</f>
        <v/>
      </c>
      <c r="G8" s="350" t="str">
        <f>IF($E8="","",IF($E8="2추","직접입력","-"))</f>
        <v/>
      </c>
      <c r="H8" s="182"/>
      <c r="I8" s="182"/>
      <c r="J8" s="181"/>
      <c r="K8" s="183"/>
      <c r="L8" s="419" t="str">
        <f>IF($E8="","",IF(OR($E8="2추",  $E8="1추", $E8="본예산"), "금액입력", "-"))</f>
        <v/>
      </c>
      <c r="M8" s="419" t="str">
        <f>IF($E8="", "", IF($E8="2추","금액입력", "-"))</f>
        <v/>
      </c>
      <c r="N8" s="421" t="str">
        <f>IF($E8="","",SUM(L8:M8))</f>
        <v/>
      </c>
      <c r="O8" s="420"/>
      <c r="P8" s="421">
        <f>SUM(N8:O8)</f>
        <v>0</v>
      </c>
      <c r="Q8" s="422"/>
      <c r="R8" s="423">
        <f>SUM(N8,Q8)</f>
        <v>0</v>
      </c>
      <c r="S8" s="133" t="str">
        <f t="shared" ref="S8" si="2">IF(AND((P8=0),(R8&gt;0)),"O",IF(AND((O8&lt;0),(P8-R8&lt;0)),"O","X"))</f>
        <v>X</v>
      </c>
      <c r="T8" s="198"/>
      <c r="U8" s="197"/>
      <c r="V8" s="199"/>
      <c r="W8" s="200"/>
      <c r="X8" s="199"/>
      <c r="Y8" s="497"/>
      <c r="Z8" s="195"/>
    </row>
    <row r="9" spans="1:26" s="135" customFormat="1" ht="69.95" customHeight="1">
      <c r="A9" s="126" t="str">
        <f>IF(D9="","",COUNTA($C$7:C9)-COUNTBLANK($C$7:C9)+1)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IF(D9="","",IF(OR(D9="교육지원과",D9="총무과",D9="인사과"),"직접입력",VLOOKUP(D9,구분표!$A$3:$C$258,3,)))</f>
        <v/>
      </c>
      <c r="D9" s="194"/>
      <c r="E9" s="181"/>
      <c r="F9" s="350" t="str">
        <f t="shared" ref="F9:G16" si="3">IF($E9="","",IF($E9="2추","직접입력","-"))</f>
        <v/>
      </c>
      <c r="G9" s="350" t="str">
        <f t="shared" si="3"/>
        <v/>
      </c>
      <c r="H9" s="182"/>
      <c r="I9" s="182"/>
      <c r="J9" s="181"/>
      <c r="K9" s="183"/>
      <c r="L9" s="419" t="str">
        <f t="shared" ref="L9:L11" si="4">IF($E9="","",IF(OR($E9="2추",  $E9="1추", $E9="본예산"), "금액입력", "-"))</f>
        <v/>
      </c>
      <c r="M9" s="419" t="str">
        <f t="shared" ref="M9:M11" si="5">IF($E9="", "", IF($E9="2추","금액입력", "-"))</f>
        <v/>
      </c>
      <c r="N9" s="421" t="str">
        <f t="shared" ref="N9:N11" si="6">IF($E9="","",SUM(L9:M9))</f>
        <v/>
      </c>
      <c r="O9" s="420"/>
      <c r="P9" s="421">
        <f t="shared" ref="P9:P11" si="7">SUM(N9:O9)</f>
        <v>0</v>
      </c>
      <c r="Q9" s="422"/>
      <c r="R9" s="423">
        <f t="shared" ref="R9:R11" si="8">SUM(N9,Q9)</f>
        <v>0</v>
      </c>
      <c r="S9" s="133" t="str">
        <f t="shared" ref="S9:S11" si="9">IF(AND((P9=0),(R9&gt;0)),"O",IF(AND((O9&lt;0),(P9-R9&lt;0)),"O","X"))</f>
        <v>X</v>
      </c>
      <c r="T9" s="198"/>
      <c r="U9" s="197"/>
      <c r="V9" s="199"/>
      <c r="W9" s="200"/>
      <c r="X9" s="199"/>
      <c r="Y9" s="497"/>
      <c r="Z9" s="195"/>
    </row>
    <row r="10" spans="1:26" s="135" customFormat="1" ht="69.95" customHeight="1">
      <c r="A10" s="126" t="str">
        <f>IF(D10="","",COUNTA($C$7:C10)-COUNTBLANK($C$7:C10)+1)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IF(D10="","",IF(OR(D10="교육지원과",D10="총무과",D10="인사과"),"직접입력",VLOOKUP(D10,구분표!$A$3:$C$258,3,)))</f>
        <v/>
      </c>
      <c r="D10" s="194"/>
      <c r="E10" s="181"/>
      <c r="F10" s="350" t="str">
        <f t="shared" si="3"/>
        <v/>
      </c>
      <c r="G10" s="350" t="str">
        <f t="shared" si="3"/>
        <v/>
      </c>
      <c r="H10" s="182"/>
      <c r="I10" s="182"/>
      <c r="J10" s="181"/>
      <c r="K10" s="183"/>
      <c r="L10" s="419" t="str">
        <f t="shared" si="4"/>
        <v/>
      </c>
      <c r="M10" s="419" t="str">
        <f t="shared" si="5"/>
        <v/>
      </c>
      <c r="N10" s="421" t="str">
        <f t="shared" si="6"/>
        <v/>
      </c>
      <c r="O10" s="420"/>
      <c r="P10" s="421">
        <f t="shared" si="7"/>
        <v>0</v>
      </c>
      <c r="Q10" s="422"/>
      <c r="R10" s="423">
        <f t="shared" si="8"/>
        <v>0</v>
      </c>
      <c r="S10" s="133" t="str">
        <f t="shared" si="9"/>
        <v>X</v>
      </c>
      <c r="T10" s="198"/>
      <c r="U10" s="197"/>
      <c r="V10" s="199"/>
      <c r="W10" s="200"/>
      <c r="X10" s="199"/>
      <c r="Y10" s="497"/>
      <c r="Z10" s="195"/>
    </row>
    <row r="11" spans="1:26" s="135" customFormat="1" ht="69.95" customHeight="1">
      <c r="A11" s="126" t="str">
        <f>IF(D11="","",COUNTA($C$7:C11)-COUNTBLANK($C$7:C11)+1)</f>
        <v/>
      </c>
      <c r="B11" s="127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27" t="str">
        <f>IF(D11="","",IF(OR(D11="교육지원과",D11="총무과",D11="인사과"),"직접입력",VLOOKUP(D11,구분표!$A$3:$C$258,3,)))</f>
        <v/>
      </c>
      <c r="D11" s="194"/>
      <c r="E11" s="181"/>
      <c r="F11" s="350" t="str">
        <f t="shared" si="3"/>
        <v/>
      </c>
      <c r="G11" s="350" t="str">
        <f t="shared" si="3"/>
        <v/>
      </c>
      <c r="H11" s="182"/>
      <c r="I11" s="182"/>
      <c r="J11" s="181"/>
      <c r="K11" s="183"/>
      <c r="L11" s="419" t="str">
        <f t="shared" si="4"/>
        <v/>
      </c>
      <c r="M11" s="419" t="str">
        <f t="shared" si="5"/>
        <v/>
      </c>
      <c r="N11" s="421" t="str">
        <f t="shared" si="6"/>
        <v/>
      </c>
      <c r="O11" s="420"/>
      <c r="P11" s="421">
        <f t="shared" si="7"/>
        <v>0</v>
      </c>
      <c r="Q11" s="422"/>
      <c r="R11" s="423">
        <f t="shared" si="8"/>
        <v>0</v>
      </c>
      <c r="S11" s="133" t="str">
        <f t="shared" si="9"/>
        <v>X</v>
      </c>
      <c r="T11" s="198"/>
      <c r="U11" s="197"/>
      <c r="V11" s="199"/>
      <c r="W11" s="200"/>
      <c r="X11" s="199"/>
      <c r="Y11" s="497"/>
      <c r="Z11" s="195"/>
    </row>
    <row r="12" spans="1:26" ht="69.95" customHeight="1">
      <c r="A12" s="141"/>
      <c r="B12" s="886" t="s">
        <v>1104</v>
      </c>
      <c r="C12" s="886"/>
      <c r="D12" s="886"/>
      <c r="E12" s="886"/>
      <c r="F12" s="886"/>
      <c r="G12" s="886"/>
      <c r="H12" s="496"/>
      <c r="I12" s="142"/>
      <c r="J12" s="142"/>
      <c r="K12" s="313" t="str">
        <f>SUBTOTAL(3,K13:K16)&amp;"건"</f>
        <v>0건</v>
      </c>
      <c r="L12" s="418">
        <f t="shared" ref="L12:R12" si="10">SUBTOTAL(9,L13:L16)</f>
        <v>0</v>
      </c>
      <c r="M12" s="418">
        <f t="shared" si="10"/>
        <v>0</v>
      </c>
      <c r="N12" s="418">
        <f t="shared" si="10"/>
        <v>0</v>
      </c>
      <c r="O12" s="418">
        <f t="shared" si="10"/>
        <v>0</v>
      </c>
      <c r="P12" s="418">
        <f t="shared" si="10"/>
        <v>0</v>
      </c>
      <c r="Q12" s="418">
        <f t="shared" si="10"/>
        <v>0</v>
      </c>
      <c r="R12" s="418">
        <f t="shared" si="10"/>
        <v>0</v>
      </c>
      <c r="S12" s="141"/>
      <c r="T12" s="141"/>
      <c r="U12" s="141"/>
      <c r="V12" s="141"/>
      <c r="W12" s="141"/>
      <c r="X12" s="141"/>
      <c r="Y12" s="143"/>
      <c r="Z12" s="42"/>
    </row>
    <row r="13" spans="1:26" s="135" customFormat="1" ht="69.95" customHeight="1">
      <c r="A13" s="126" t="str">
        <f>IF(D13="","",COUNTA($C$7:C13)-COUNTBLANK($C$7:C13)+2)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IF(D13="","",IF(OR(D13="교육지원과",D13="총무과",D13="인사과"),"직접입력",VLOOKUP(D13,구분표!$A$3:$C$258,3,)))</f>
        <v/>
      </c>
      <c r="D13" s="194"/>
      <c r="E13" s="181"/>
      <c r="F13" s="350" t="str">
        <f t="shared" si="3"/>
        <v/>
      </c>
      <c r="G13" s="350" t="str">
        <f t="shared" si="3"/>
        <v/>
      </c>
      <c r="H13" s="182"/>
      <c r="I13" s="182"/>
      <c r="J13" s="181"/>
      <c r="K13" s="183"/>
      <c r="L13" s="419" t="str">
        <f>IF($E13="","",IF(OR($E13="2추",  $E13="1추", $E13="본예산"), "금액입력", "-"))</f>
        <v/>
      </c>
      <c r="M13" s="419" t="str">
        <f>IF($E13="", "", IF($E13="2추","금액입력", "-"))</f>
        <v/>
      </c>
      <c r="N13" s="421" t="str">
        <f t="shared" ref="N13:N16" si="11">IF($E13="","",SUM(L13:M13))</f>
        <v/>
      </c>
      <c r="O13" s="420"/>
      <c r="P13" s="421">
        <f t="shared" ref="P13:P16" si="12">SUM(N13:O13)</f>
        <v>0</v>
      </c>
      <c r="Q13" s="422"/>
      <c r="R13" s="423">
        <f t="shared" ref="R13:R16" si="13">SUM(N13,Q13)</f>
        <v>0</v>
      </c>
      <c r="S13" s="133" t="str">
        <f t="shared" ref="S13:S16" si="14">IF(AND((P13=0),(R13&gt;0)),"O",IF(AND((O13&lt;0),(P13-R13&lt;0)),"O","X"))</f>
        <v>X</v>
      </c>
      <c r="T13" s="198"/>
      <c r="U13" s="197"/>
      <c r="V13" s="199"/>
      <c r="W13" s="200"/>
      <c r="X13" s="199"/>
      <c r="Y13" s="497"/>
      <c r="Z13" s="195"/>
    </row>
    <row r="14" spans="1:26" s="135" customFormat="1" ht="69.95" customHeight="1">
      <c r="A14" s="126" t="str">
        <f>IF(D14="","",COUNTA($C$7:C14)-COUNTBLANK($C$7:C14)+2)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IF(D14="","",IF(OR(D14="교육지원과",D14="총무과",D14="인사과"),"직접입력",VLOOKUP(D14,구분표!$A$3:$C$258,3,)))</f>
        <v/>
      </c>
      <c r="D14" s="194"/>
      <c r="E14" s="181"/>
      <c r="F14" s="350" t="str">
        <f t="shared" si="3"/>
        <v/>
      </c>
      <c r="G14" s="350" t="str">
        <f t="shared" si="3"/>
        <v/>
      </c>
      <c r="H14" s="182"/>
      <c r="I14" s="182"/>
      <c r="J14" s="181"/>
      <c r="K14" s="183"/>
      <c r="L14" s="419" t="str">
        <f t="shared" ref="L14:L16" si="15">IF($E14="","",IF(OR($E14="2추",  $E14="1추", $E14="본예산"), "금액입력", "-"))</f>
        <v/>
      </c>
      <c r="M14" s="419" t="str">
        <f t="shared" ref="M14:M16" si="16">IF($E14="", "", IF($E14="2추","금액입력", "-"))</f>
        <v/>
      </c>
      <c r="N14" s="421" t="str">
        <f t="shared" si="11"/>
        <v/>
      </c>
      <c r="O14" s="420"/>
      <c r="P14" s="421">
        <f t="shared" si="12"/>
        <v>0</v>
      </c>
      <c r="Q14" s="422"/>
      <c r="R14" s="423">
        <f t="shared" si="13"/>
        <v>0</v>
      </c>
      <c r="S14" s="133" t="str">
        <f t="shared" si="14"/>
        <v>X</v>
      </c>
      <c r="T14" s="198"/>
      <c r="U14" s="197"/>
      <c r="V14" s="199"/>
      <c r="W14" s="200"/>
      <c r="X14" s="199"/>
      <c r="Y14" s="497"/>
      <c r="Z14" s="195"/>
    </row>
    <row r="15" spans="1:26" s="135" customFormat="1" ht="69.95" customHeight="1">
      <c r="A15" s="126" t="str">
        <f>IF(D15="","",COUNTA($C$7:C15)-COUNTBLANK($C$7:C15)+2)</f>
        <v/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27" t="str">
        <f>IF(D15="","",IF(OR(D15="교육지원과",D15="총무과",D15="인사과"),"직접입력",VLOOKUP(D15,구분표!$A$3:$C$258,3,)))</f>
        <v/>
      </c>
      <c r="D15" s="194"/>
      <c r="E15" s="181"/>
      <c r="F15" s="350" t="str">
        <f t="shared" si="3"/>
        <v/>
      </c>
      <c r="G15" s="350" t="str">
        <f t="shared" si="3"/>
        <v/>
      </c>
      <c r="H15" s="182"/>
      <c r="I15" s="182"/>
      <c r="J15" s="181"/>
      <c r="K15" s="183"/>
      <c r="L15" s="419" t="str">
        <f t="shared" si="15"/>
        <v/>
      </c>
      <c r="M15" s="419" t="str">
        <f t="shared" si="16"/>
        <v/>
      </c>
      <c r="N15" s="421" t="str">
        <f t="shared" si="11"/>
        <v/>
      </c>
      <c r="O15" s="420"/>
      <c r="P15" s="421">
        <f t="shared" si="12"/>
        <v>0</v>
      </c>
      <c r="Q15" s="422"/>
      <c r="R15" s="423">
        <f t="shared" si="13"/>
        <v>0</v>
      </c>
      <c r="S15" s="133" t="str">
        <f t="shared" si="14"/>
        <v>X</v>
      </c>
      <c r="T15" s="198"/>
      <c r="U15" s="197"/>
      <c r="V15" s="199"/>
      <c r="W15" s="200"/>
      <c r="X15" s="199"/>
      <c r="Y15" s="497"/>
      <c r="Z15" s="195"/>
    </row>
    <row r="16" spans="1:26" s="135" customFormat="1" ht="69.95" customHeight="1">
      <c r="A16" s="126" t="str">
        <f>IF(D16="","",COUNTA($C$7:C16)-COUNTBLANK($C$7:C16)+2)</f>
        <v/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27" t="str">
        <f>IF(D16="","",IF(OR(D16="교육지원과",D16="총무과",D16="인사과"),"직접입력",VLOOKUP(D16,구분표!$A$3:$C$258,3,)))</f>
        <v/>
      </c>
      <c r="D16" s="194"/>
      <c r="E16" s="181"/>
      <c r="F16" s="350" t="str">
        <f t="shared" si="3"/>
        <v/>
      </c>
      <c r="G16" s="350" t="str">
        <f t="shared" si="3"/>
        <v/>
      </c>
      <c r="H16" s="182"/>
      <c r="I16" s="182"/>
      <c r="J16" s="181"/>
      <c r="K16" s="183"/>
      <c r="L16" s="419" t="str">
        <f t="shared" si="15"/>
        <v/>
      </c>
      <c r="M16" s="419" t="str">
        <f t="shared" si="16"/>
        <v/>
      </c>
      <c r="N16" s="421" t="str">
        <f t="shared" si="11"/>
        <v/>
      </c>
      <c r="O16" s="420"/>
      <c r="P16" s="421">
        <f t="shared" si="12"/>
        <v>0</v>
      </c>
      <c r="Q16" s="422"/>
      <c r="R16" s="423">
        <f t="shared" si="13"/>
        <v>0</v>
      </c>
      <c r="S16" s="133" t="str">
        <f t="shared" si="14"/>
        <v>X</v>
      </c>
      <c r="T16" s="198"/>
      <c r="U16" s="197"/>
      <c r="V16" s="199"/>
      <c r="W16" s="200"/>
      <c r="X16" s="199"/>
      <c r="Y16" s="497"/>
      <c r="Z16" s="195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49"/>
      <c r="O17" s="449"/>
      <c r="P17" s="449"/>
      <c r="Q17" s="449"/>
      <c r="R17" s="449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49"/>
      <c r="O18" s="449"/>
      <c r="P18" s="449"/>
      <c r="Q18" s="449"/>
      <c r="R18" s="449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49"/>
      <c r="O19" s="449"/>
      <c r="P19" s="449"/>
      <c r="Q19" s="449"/>
      <c r="R19" s="449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49"/>
      <c r="O20" s="449"/>
      <c r="P20" s="449"/>
      <c r="Q20" s="449"/>
      <c r="R20" s="449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49"/>
      <c r="O21" s="449"/>
      <c r="P21" s="449"/>
      <c r="Q21" s="449"/>
      <c r="R21" s="449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49"/>
      <c r="O22" s="449"/>
      <c r="P22" s="449"/>
      <c r="Q22" s="449"/>
      <c r="R22" s="449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49"/>
      <c r="O23" s="449"/>
      <c r="P23" s="449"/>
      <c r="Q23" s="449"/>
      <c r="R23" s="449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49"/>
      <c r="O24" s="449"/>
      <c r="P24" s="449"/>
      <c r="Q24" s="449"/>
      <c r="R24" s="449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49"/>
      <c r="O25" s="449"/>
      <c r="P25" s="449"/>
      <c r="Q25" s="449"/>
      <c r="R25" s="449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49"/>
      <c r="O26" s="449"/>
      <c r="P26" s="449"/>
      <c r="Q26" s="449"/>
      <c r="R26" s="449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49"/>
      <c r="O27" s="449"/>
      <c r="P27" s="449"/>
      <c r="Q27" s="449"/>
      <c r="R27" s="449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49"/>
      <c r="O28" s="449"/>
      <c r="P28" s="449"/>
      <c r="Q28" s="449"/>
      <c r="R28" s="449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49"/>
      <c r="O29" s="449"/>
      <c r="P29" s="449"/>
      <c r="Q29" s="449"/>
      <c r="R29" s="449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49"/>
      <c r="O30" s="449"/>
      <c r="P30" s="449"/>
      <c r="Q30" s="449"/>
      <c r="R30" s="449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49"/>
      <c r="O31" s="449"/>
      <c r="P31" s="449"/>
      <c r="Q31" s="449"/>
      <c r="R31" s="449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49"/>
      <c r="O32" s="449"/>
      <c r="P32" s="449"/>
      <c r="Q32" s="449"/>
      <c r="R32" s="449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49"/>
      <c r="O33" s="449"/>
      <c r="P33" s="449"/>
      <c r="Q33" s="449"/>
      <c r="R33" s="449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</mergeCells>
  <phoneticPr fontId="1" type="noConversion"/>
  <conditionalFormatting sqref="F1:H3 F6:H7 F12:H12 F17:H1048576 H4">
    <cfRule type="containsText" dxfId="636" priority="94" operator="containsText" text="직접입력">
      <formula>NOT(ISERROR(SEARCH("직접입력",F1)))</formula>
    </cfRule>
  </conditionalFormatting>
  <conditionalFormatting sqref="N1:N3 N6 N17:N1048576">
    <cfRule type="containsText" dxfId="635" priority="93" operator="containsText" text="금액입력">
      <formula>NOT(ISERROR(SEARCH("금액입력",N1)))</formula>
    </cfRule>
  </conditionalFormatting>
  <conditionalFormatting sqref="K1:M3 K17:M1048576 K4:K16">
    <cfRule type="containsText" dxfId="634" priority="92" operator="containsText" text="부기명 입력">
      <formula>NOT(ISERROR(SEARCH("부기명 입력",K1)))</formula>
    </cfRule>
  </conditionalFormatting>
  <conditionalFormatting sqref="L7:R7">
    <cfRule type="containsText" dxfId="633" priority="78" operator="containsText" text="금액입력">
      <formula>NOT(ISERROR(SEARCH("금액입력",L7)))</formula>
    </cfRule>
  </conditionalFormatting>
  <conditionalFormatting sqref="L6:M6">
    <cfRule type="containsText" dxfId="632" priority="77" operator="containsText" text="금액입력">
      <formula>NOT(ISERROR(SEARCH("금액입력",L6)))</formula>
    </cfRule>
  </conditionalFormatting>
  <conditionalFormatting sqref="L12:R12">
    <cfRule type="containsText" dxfId="631" priority="61" operator="containsText" text="금액입력">
      <formula>NOT(ISERROR(SEARCH("금액입력",L12)))</formula>
    </cfRule>
  </conditionalFormatting>
  <conditionalFormatting sqref="N8:N11 N13:N16">
    <cfRule type="containsText" dxfId="630" priority="70" operator="containsText" text="금액입력">
      <formula>NOT(ISERROR(SEARCH("금액입력",N8)))</formula>
    </cfRule>
  </conditionalFormatting>
  <conditionalFormatting sqref="N4:N5">
    <cfRule type="containsText" dxfId="629" priority="56" operator="containsText" text="금액입력">
      <formula>NOT(ISERROR(SEARCH("금액입력",N4)))</formula>
    </cfRule>
  </conditionalFormatting>
  <conditionalFormatting sqref="F4:G5">
    <cfRule type="containsText" dxfId="628" priority="54" operator="containsText" text="직접입력">
      <formula>NOT(ISERROR(SEARCH("직접입력",F4)))</formula>
    </cfRule>
  </conditionalFormatting>
  <conditionalFormatting sqref="L4:M5">
    <cfRule type="containsText" dxfId="627" priority="53" operator="containsText" text="금액입력">
      <formula>NOT(ISERROR(SEARCH("금액입력",L4)))</formula>
    </cfRule>
  </conditionalFormatting>
  <conditionalFormatting sqref="B8:C11 B13:C16">
    <cfRule type="containsText" dxfId="626" priority="45" operator="containsText" text="직접입력">
      <formula>NOT(ISERROR(SEARCH("직접입력",B8)))</formula>
    </cfRule>
  </conditionalFormatting>
  <conditionalFormatting sqref="F8:G11 F13:G16">
    <cfRule type="containsText" dxfId="625" priority="30" operator="containsText" text="직접입력">
      <formula>NOT(ISERROR(SEARCH("직접입력",F8)))</formula>
    </cfRule>
  </conditionalFormatting>
  <conditionalFormatting sqref="L8:L11">
    <cfRule type="containsText" dxfId="624" priority="27" operator="containsText" text="부기명 입력">
      <formula>NOT(ISERROR(SEARCH("부기명 입력",L8)))</formula>
    </cfRule>
  </conditionalFormatting>
  <conditionalFormatting sqref="L8:L11">
    <cfRule type="containsText" dxfId="623" priority="26" operator="containsText" text="금액입력">
      <formula>NOT(ISERROR(SEARCH("금액입력",L8)))</formula>
    </cfRule>
  </conditionalFormatting>
  <conditionalFormatting sqref="M8:M11">
    <cfRule type="containsText" dxfId="622" priority="25" operator="containsText" text="금액입력">
      <formula>NOT(ISERROR(SEARCH("금액입력",M8)))</formula>
    </cfRule>
  </conditionalFormatting>
  <conditionalFormatting sqref="L8:L11">
    <cfRule type="containsText" dxfId="621" priority="24" operator="containsText" text="부기명 입력">
      <formula>NOT(ISERROR(SEARCH("부기명 입력",L8)))</formula>
    </cfRule>
  </conditionalFormatting>
  <conditionalFormatting sqref="L8:L11">
    <cfRule type="containsText" dxfId="620" priority="23" operator="containsText" text="금액입력">
      <formula>NOT(ISERROR(SEARCH("금액입력",L8)))</formula>
    </cfRule>
  </conditionalFormatting>
  <conditionalFormatting sqref="M8:M11">
    <cfRule type="containsText" dxfId="619" priority="22" operator="containsText" text="금액입력">
      <formula>NOT(ISERROR(SEARCH("금액입력",M8)))</formula>
    </cfRule>
  </conditionalFormatting>
  <conditionalFormatting sqref="L13:L16">
    <cfRule type="containsText" dxfId="618" priority="6" operator="containsText" text="부기명 입력">
      <formula>NOT(ISERROR(SEARCH("부기명 입력",L13)))</formula>
    </cfRule>
  </conditionalFormatting>
  <conditionalFormatting sqref="L13:L16">
    <cfRule type="containsText" dxfId="617" priority="5" operator="containsText" text="금액입력">
      <formula>NOT(ISERROR(SEARCH("금액입력",L13)))</formula>
    </cfRule>
  </conditionalFormatting>
  <conditionalFormatting sqref="M13:M16">
    <cfRule type="containsText" dxfId="616" priority="4" operator="containsText" text="금액입력">
      <formula>NOT(ISERROR(SEARCH("금액입력",M13)))</formula>
    </cfRule>
  </conditionalFormatting>
  <conditionalFormatting sqref="L13:L16">
    <cfRule type="containsText" dxfId="615" priority="3" operator="containsText" text="부기명 입력">
      <formula>NOT(ISERROR(SEARCH("부기명 입력",L13)))</formula>
    </cfRule>
  </conditionalFormatting>
  <conditionalFormatting sqref="L13:L16">
    <cfRule type="containsText" dxfId="614" priority="2" operator="containsText" text="금액입력">
      <formula>NOT(ISERROR(SEARCH("금액입력",L13)))</formula>
    </cfRule>
  </conditionalFormatting>
  <conditionalFormatting sqref="M13:M16">
    <cfRule type="containsText" dxfId="613" priority="1" operator="containsText" text="금액입력">
      <formula>NOT(ISERROR(SEARCH("금액입력",M13)))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13:E16 E8:E11" xr:uid="{FE65DBF1-A2FA-4805-B19B-6F78F9CFCD7E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activeCell="A48" sqref="A48"/>
      <selection pane="bottomLeft" activeCell="A48" sqref="A48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14" customWidth="1"/>
    <col min="19" max="19" width="25.625" style="438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926" t="s">
        <v>1106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</row>
    <row r="2" spans="1:28" ht="39.75" customHeight="1"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505"/>
      <c r="N2" s="505"/>
      <c r="O2" s="456"/>
      <c r="P2" s="433">
        <f>SUM(P6:P119)/2</f>
        <v>0</v>
      </c>
      <c r="Q2" s="433">
        <f>SUM(Q6:Q119)/2</f>
        <v>0</v>
      </c>
      <c r="R2" s="433">
        <f>SUM(R6:R119)/2</f>
        <v>0</v>
      </c>
      <c r="S2" s="433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294" customFormat="1" ht="60" customHeight="1">
      <c r="A3" s="885" t="s">
        <v>184</v>
      </c>
      <c r="B3" s="889" t="s">
        <v>110</v>
      </c>
      <c r="C3" s="889" t="s">
        <v>111</v>
      </c>
      <c r="D3" s="889" t="s">
        <v>112</v>
      </c>
      <c r="E3" s="891" t="s">
        <v>113</v>
      </c>
      <c r="F3" s="891" t="s">
        <v>1117</v>
      </c>
      <c r="G3" s="891" t="s">
        <v>251</v>
      </c>
      <c r="H3" s="960" t="s">
        <v>502</v>
      </c>
      <c r="I3" s="885" t="s">
        <v>269</v>
      </c>
      <c r="J3" s="885" t="s">
        <v>270</v>
      </c>
      <c r="K3" s="885" t="s">
        <v>759</v>
      </c>
      <c r="L3" s="885" t="s">
        <v>504</v>
      </c>
      <c r="M3" s="887" t="s">
        <v>2040</v>
      </c>
      <c r="N3" s="887" t="s">
        <v>1693</v>
      </c>
      <c r="O3" s="887" t="s">
        <v>1109</v>
      </c>
      <c r="P3" s="867" t="s">
        <v>1110</v>
      </c>
      <c r="Q3" s="866" t="s">
        <v>1113</v>
      </c>
      <c r="R3" s="867" t="s">
        <v>1111</v>
      </c>
      <c r="S3" s="866" t="s">
        <v>1112</v>
      </c>
      <c r="T3" s="893" t="s">
        <v>253</v>
      </c>
      <c r="U3" s="866" t="s">
        <v>255</v>
      </c>
      <c r="V3" s="866" t="s">
        <v>254</v>
      </c>
      <c r="W3" s="866" t="s">
        <v>256</v>
      </c>
      <c r="X3" s="893" t="s">
        <v>762</v>
      </c>
      <c r="Y3" s="893" t="s">
        <v>298</v>
      </c>
      <c r="Z3" s="964" t="s">
        <v>924</v>
      </c>
    </row>
    <row r="4" spans="1:28" s="294" customFormat="1" ht="60" customHeight="1">
      <c r="A4" s="885"/>
      <c r="B4" s="889"/>
      <c r="C4" s="889"/>
      <c r="D4" s="889"/>
      <c r="E4" s="891"/>
      <c r="F4" s="891"/>
      <c r="G4" s="891"/>
      <c r="H4" s="961"/>
      <c r="I4" s="885"/>
      <c r="J4" s="885"/>
      <c r="K4" s="885"/>
      <c r="L4" s="885"/>
      <c r="M4" s="888"/>
      <c r="N4" s="888"/>
      <c r="O4" s="888"/>
      <c r="P4" s="869"/>
      <c r="Q4" s="892"/>
      <c r="R4" s="869"/>
      <c r="S4" s="892"/>
      <c r="T4" s="893"/>
      <c r="U4" s="866"/>
      <c r="V4" s="866"/>
      <c r="W4" s="866"/>
      <c r="X4" s="893"/>
      <c r="Y4" s="893"/>
      <c r="Z4" s="934"/>
    </row>
    <row r="5" spans="1:28" s="390" customFormat="1" ht="80.099999999999994" customHeight="1">
      <c r="A5" s="392"/>
      <c r="B5" s="151" t="s">
        <v>128</v>
      </c>
      <c r="C5" s="383" t="s">
        <v>191</v>
      </c>
      <c r="D5" s="384"/>
      <c r="E5" s="385"/>
      <c r="F5" s="393"/>
      <c r="G5" s="393"/>
      <c r="H5" s="394" t="s">
        <v>191</v>
      </c>
      <c r="I5" s="394" t="s">
        <v>191</v>
      </c>
      <c r="J5" s="394" t="s">
        <v>191</v>
      </c>
      <c r="K5" s="394" t="s">
        <v>191</v>
      </c>
      <c r="L5" s="342" t="str">
        <f>SUBTOTAL(3,L$7:L$1955)&amp;"건"</f>
        <v>0건</v>
      </c>
      <c r="M5" s="457">
        <f t="shared" ref="M5:N5" si="0">SUBTOTAL(9,M$6:M$1955)</f>
        <v>0</v>
      </c>
      <c r="N5" s="457">
        <f t="shared" si="0"/>
        <v>0</v>
      </c>
      <c r="O5" s="457">
        <f>SUBTOTAL(9,O$6:O$1955)</f>
        <v>0</v>
      </c>
      <c r="P5" s="457">
        <f>SUBTOTAL(9,P$6:P$1955)</f>
        <v>0</v>
      </c>
      <c r="Q5" s="457">
        <f>SUBTOTAL(9,Q$6:Q$1955)</f>
        <v>0</v>
      </c>
      <c r="R5" s="457">
        <f>SUBTOTAL(9,R$6:R$1955)</f>
        <v>0</v>
      </c>
      <c r="S5" s="457">
        <f>SUBTOTAL(9,S$6:S$1955)</f>
        <v>0</v>
      </c>
      <c r="T5" s="152"/>
      <c r="U5" s="395"/>
      <c r="V5" s="396"/>
      <c r="W5" s="392"/>
      <c r="X5" s="397"/>
      <c r="Y5" s="397"/>
      <c r="Z5" s="398"/>
      <c r="AA5" s="38"/>
    </row>
    <row r="6" spans="1:28" ht="60" customHeight="1">
      <c r="A6" s="144"/>
      <c r="B6" s="962" t="s">
        <v>1103</v>
      </c>
      <c r="C6" s="962"/>
      <c r="D6" s="962"/>
      <c r="E6" s="962"/>
      <c r="F6" s="962"/>
      <c r="G6" s="962"/>
      <c r="H6" s="145"/>
      <c r="I6" s="145"/>
      <c r="J6" s="145"/>
      <c r="K6" s="145"/>
      <c r="L6" s="317" t="str">
        <f>SUBTOTAL(3,L7:L10)&amp;"건"</f>
        <v>0건</v>
      </c>
      <c r="M6" s="437">
        <f t="shared" ref="M6:S6" si="1">SUBTOTAL(9,M7:M10)</f>
        <v>0</v>
      </c>
      <c r="N6" s="437">
        <f t="shared" si="1"/>
        <v>0</v>
      </c>
      <c r="O6" s="437">
        <f t="shared" si="1"/>
        <v>0</v>
      </c>
      <c r="P6" s="437">
        <f t="shared" si="1"/>
        <v>0</v>
      </c>
      <c r="Q6" s="437">
        <f t="shared" si="1"/>
        <v>0</v>
      </c>
      <c r="R6" s="437">
        <f t="shared" si="1"/>
        <v>0</v>
      </c>
      <c r="S6" s="437">
        <f t="shared" si="1"/>
        <v>0</v>
      </c>
      <c r="T6" s="144"/>
      <c r="U6" s="146"/>
      <c r="V6" s="146"/>
      <c r="W6" s="147"/>
      <c r="X6" s="148"/>
      <c r="Y6" s="148"/>
      <c r="Z6" s="81"/>
      <c r="AA6" s="43"/>
    </row>
    <row r="7" spans="1:28" ht="80.099999999999994" customHeight="1">
      <c r="A7" s="126" t="str">
        <f>IF(D7="","",COUNTA($C$6:C7)-COUNTBLANK($C$6:C7)+1)</f>
        <v/>
      </c>
      <c r="B7" s="127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27" t="str">
        <f>IF(D7="","",IF(OR(D7="교육지원과",D7="총무과",D7="인사과"),"직접입력",VLOOKUP(D7,구분표!$A$3:$C$258,3,)))</f>
        <v/>
      </c>
      <c r="D7" s="194"/>
      <c r="E7" s="181"/>
      <c r="F7" s="350" t="str">
        <f>IF($E7="","",IF($E7="2추","직접입력","-"))</f>
        <v/>
      </c>
      <c r="G7" s="350" t="str">
        <f>IF($E7="","",IF($E7="2추","직접입력","-"))</f>
        <v/>
      </c>
      <c r="H7" s="181"/>
      <c r="I7" s="181"/>
      <c r="J7" s="181"/>
      <c r="K7" s="186"/>
      <c r="L7" s="186"/>
      <c r="M7" s="419" t="str">
        <f>IF($E7="","",IF(OR($E7="2추", $E7="1추", $E7="본예산"), "금액입력", "-"))</f>
        <v/>
      </c>
      <c r="N7" s="419" t="str">
        <f>IF($E7="", "", IF($E7="2추","금액입력", "-"))</f>
        <v/>
      </c>
      <c r="O7" s="421" t="str">
        <f>IF($E7="","",SUM(M7:N7))</f>
        <v/>
      </c>
      <c r="P7" s="420"/>
      <c r="Q7" s="421">
        <f>SUM(O7:P7)</f>
        <v>0</v>
      </c>
      <c r="R7" s="422"/>
      <c r="S7" s="423">
        <f>SUM(O7,R7)</f>
        <v>0</v>
      </c>
      <c r="T7" s="133" t="str">
        <f t="shared" ref="T7" si="2">IF(AND((Q7=0),(S7&gt;0)),"O",IF(AND((P7&lt;0),(Q7-S7&lt;0)),"O","X"))</f>
        <v>X</v>
      </c>
      <c r="U7" s="201"/>
      <c r="V7" s="192"/>
      <c r="W7" s="185"/>
      <c r="X7" s="202"/>
      <c r="Y7" s="503"/>
      <c r="Z7" s="353"/>
      <c r="AA7" s="134"/>
      <c r="AB7" s="27"/>
    </row>
    <row r="8" spans="1:28" ht="80.099999999999994" customHeight="1">
      <c r="A8" s="126" t="str">
        <f>IF(D8="","",COUNTA($C$6:C8)-COUNTBLANK($C$6:C8)+1)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IF(D8="","",IF(OR(D8="교육지원과",D8="총무과",D8="인사과"),"직접입력",VLOOKUP(D8,구분표!$A$3:$C$258,3,)))</f>
        <v/>
      </c>
      <c r="D8" s="194"/>
      <c r="E8" s="181"/>
      <c r="F8" s="350" t="str">
        <f t="shared" ref="F8:G10" si="3">IF($E8="","",IF($E8="2추","직접입력","-"))</f>
        <v/>
      </c>
      <c r="G8" s="350" t="str">
        <f t="shared" si="3"/>
        <v/>
      </c>
      <c r="H8" s="181"/>
      <c r="I8" s="181"/>
      <c r="J8" s="181"/>
      <c r="K8" s="186"/>
      <c r="L8" s="186"/>
      <c r="M8" s="419" t="str">
        <f t="shared" ref="M8:M10" si="4">IF($E8="","",IF(OR($E8="2추", $E8="1추", $E8="본예산"), "금액입력", "-"))</f>
        <v/>
      </c>
      <c r="N8" s="419" t="str">
        <f t="shared" ref="N8:N10" si="5">IF($E8="", "", IF($E8="2추","금액입력", "-"))</f>
        <v/>
      </c>
      <c r="O8" s="421" t="str">
        <f t="shared" ref="O8:O10" si="6">IF($E8="","",SUM(M8:N8))</f>
        <v/>
      </c>
      <c r="P8" s="420"/>
      <c r="Q8" s="421">
        <f t="shared" ref="Q8:Q10" si="7">SUM(O8:P8)</f>
        <v>0</v>
      </c>
      <c r="R8" s="422"/>
      <c r="S8" s="423">
        <f t="shared" ref="S8:S10" si="8">SUM(O8,R8)</f>
        <v>0</v>
      </c>
      <c r="T8" s="133" t="str">
        <f t="shared" ref="T8:T10" si="9">IF(AND((Q8=0),(S8&gt;0)),"O",IF(AND((P8&lt;0),(Q8-S8&lt;0)),"O","X"))</f>
        <v>X</v>
      </c>
      <c r="U8" s="201"/>
      <c r="V8" s="192"/>
      <c r="W8" s="185"/>
      <c r="X8" s="202"/>
      <c r="Y8" s="503"/>
      <c r="Z8" s="353"/>
      <c r="AA8" s="134"/>
      <c r="AB8" s="27"/>
    </row>
    <row r="9" spans="1:28" ht="80.099999999999994" customHeight="1">
      <c r="A9" s="126" t="str">
        <f>IF(D9="","",COUNTA($C$6:C9)-COUNTBLANK($C$6:C9)+1)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IF(D9="","",IF(OR(D9="교육지원과",D9="총무과",D9="인사과"),"직접입력",VLOOKUP(D9,구분표!$A$3:$C$258,3,)))</f>
        <v/>
      </c>
      <c r="D9" s="194"/>
      <c r="E9" s="181"/>
      <c r="F9" s="350" t="str">
        <f t="shared" si="3"/>
        <v/>
      </c>
      <c r="G9" s="350" t="str">
        <f t="shared" si="3"/>
        <v/>
      </c>
      <c r="H9" s="181"/>
      <c r="I9" s="181"/>
      <c r="J9" s="181"/>
      <c r="K9" s="186"/>
      <c r="L9" s="186"/>
      <c r="M9" s="419" t="str">
        <f t="shared" si="4"/>
        <v/>
      </c>
      <c r="N9" s="419" t="str">
        <f t="shared" si="5"/>
        <v/>
      </c>
      <c r="O9" s="421" t="str">
        <f t="shared" si="6"/>
        <v/>
      </c>
      <c r="P9" s="420"/>
      <c r="Q9" s="421">
        <f t="shared" si="7"/>
        <v>0</v>
      </c>
      <c r="R9" s="422"/>
      <c r="S9" s="423">
        <f t="shared" si="8"/>
        <v>0</v>
      </c>
      <c r="T9" s="133" t="str">
        <f t="shared" si="9"/>
        <v>X</v>
      </c>
      <c r="U9" s="201"/>
      <c r="V9" s="192"/>
      <c r="W9" s="185"/>
      <c r="X9" s="202"/>
      <c r="Y9" s="503"/>
      <c r="Z9" s="353"/>
      <c r="AA9" s="134"/>
      <c r="AB9" s="27"/>
    </row>
    <row r="10" spans="1:28" ht="80.099999999999994" customHeight="1">
      <c r="A10" s="126" t="str">
        <f>IF(D10="","",COUNTA($C$6:C10)-COUNTBLANK($C$6:C10)+1)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IF(D10="","",IF(OR(D10="교육지원과",D10="총무과",D10="인사과"),"직접입력",VLOOKUP(D10,구분표!$A$3:$C$258,3,)))</f>
        <v/>
      </c>
      <c r="D10" s="194"/>
      <c r="E10" s="181"/>
      <c r="F10" s="350" t="str">
        <f t="shared" si="3"/>
        <v/>
      </c>
      <c r="G10" s="350" t="str">
        <f t="shared" si="3"/>
        <v/>
      </c>
      <c r="H10" s="181"/>
      <c r="I10" s="181"/>
      <c r="J10" s="181"/>
      <c r="K10" s="186"/>
      <c r="L10" s="186"/>
      <c r="M10" s="419" t="str">
        <f t="shared" si="4"/>
        <v/>
      </c>
      <c r="N10" s="419" t="str">
        <f t="shared" si="5"/>
        <v/>
      </c>
      <c r="O10" s="421" t="str">
        <f t="shared" si="6"/>
        <v/>
      </c>
      <c r="P10" s="420"/>
      <c r="Q10" s="421">
        <f t="shared" si="7"/>
        <v>0</v>
      </c>
      <c r="R10" s="422"/>
      <c r="S10" s="423">
        <f t="shared" si="8"/>
        <v>0</v>
      </c>
      <c r="T10" s="133" t="str">
        <f t="shared" si="9"/>
        <v>X</v>
      </c>
      <c r="U10" s="201"/>
      <c r="V10" s="192"/>
      <c r="W10" s="185"/>
      <c r="X10" s="202"/>
      <c r="Y10" s="503"/>
      <c r="Z10" s="353"/>
      <c r="AA10" s="134"/>
      <c r="AB10" s="27"/>
    </row>
    <row r="11" spans="1:28" ht="60" customHeight="1">
      <c r="A11" s="144"/>
      <c r="B11" s="962" t="s">
        <v>1104</v>
      </c>
      <c r="C11" s="962"/>
      <c r="D11" s="962"/>
      <c r="E11" s="962"/>
      <c r="F11" s="962"/>
      <c r="G11" s="962"/>
      <c r="H11" s="145"/>
      <c r="I11" s="145"/>
      <c r="J11" s="145"/>
      <c r="K11" s="145"/>
      <c r="L11" s="317" t="str">
        <f>SUBTOTAL(3,L12:L15)&amp;"건"</f>
        <v>0건</v>
      </c>
      <c r="M11" s="437">
        <f t="shared" ref="M11:S11" si="10">SUBTOTAL(9,M12:M15)</f>
        <v>0</v>
      </c>
      <c r="N11" s="437">
        <f t="shared" si="10"/>
        <v>0</v>
      </c>
      <c r="O11" s="437">
        <f t="shared" si="10"/>
        <v>0</v>
      </c>
      <c r="P11" s="437">
        <f t="shared" si="10"/>
        <v>0</v>
      </c>
      <c r="Q11" s="437">
        <f t="shared" si="10"/>
        <v>0</v>
      </c>
      <c r="R11" s="437">
        <f t="shared" si="10"/>
        <v>0</v>
      </c>
      <c r="S11" s="437">
        <f t="shared" si="10"/>
        <v>0</v>
      </c>
      <c r="T11" s="144"/>
      <c r="U11" s="146"/>
      <c r="V11" s="146"/>
      <c r="W11" s="147"/>
      <c r="X11" s="148"/>
      <c r="Y11" s="148"/>
      <c r="Z11" s="81"/>
      <c r="AA11" s="43"/>
    </row>
    <row r="12" spans="1:28" ht="80.099999999999994" customHeight="1">
      <c r="A12" s="126" t="str">
        <f>IF(D12="","",COUNTA($C$6:C12)-COUNTBLANK($C$6:C12)+2)</f>
        <v/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27" t="str">
        <f>IF(D12="","",IF(OR(D12="교육지원과",D12="총무과",D12="인사과"),"직접입력",VLOOKUP(D12,구분표!$A$3:$C$258,3,)))</f>
        <v/>
      </c>
      <c r="D12" s="194"/>
      <c r="E12" s="181"/>
      <c r="F12" s="350" t="str">
        <f>IF($E12="","",IF($E12="2추","직접입력","-"))</f>
        <v/>
      </c>
      <c r="G12" s="350" t="str">
        <f>IF($E12="","",IF($E12="2추","직접입력","-"))</f>
        <v/>
      </c>
      <c r="H12" s="181"/>
      <c r="I12" s="181"/>
      <c r="J12" s="181"/>
      <c r="K12" s="186"/>
      <c r="L12" s="186"/>
      <c r="M12" s="419" t="str">
        <f>IF($E12="","",IF(OR($E12="2추", $E12="1추", $E12="본예산"), "금액입력", "-"))</f>
        <v/>
      </c>
      <c r="N12" s="419" t="str">
        <f>IF($E12="", "", IF($E12="2추","금액입력", "-"))</f>
        <v/>
      </c>
      <c r="O12" s="421" t="str">
        <f t="shared" ref="O12:O15" si="11">IF($E12="","",SUM(M12:N12))</f>
        <v/>
      </c>
      <c r="P12" s="420"/>
      <c r="Q12" s="421">
        <f t="shared" ref="Q12:Q15" si="12">SUM(O12:P12)</f>
        <v>0</v>
      </c>
      <c r="R12" s="422"/>
      <c r="S12" s="423">
        <f t="shared" ref="S12:S15" si="13">SUM(O12,R12)</f>
        <v>0</v>
      </c>
      <c r="T12" s="133" t="str">
        <f t="shared" ref="T12:T15" si="14">IF(AND((Q12=0),(S12&gt;0)),"O",IF(AND((P12&lt;0),(Q12-S12&lt;0)),"O","X"))</f>
        <v>X</v>
      </c>
      <c r="U12" s="201"/>
      <c r="V12" s="192"/>
      <c r="W12" s="185"/>
      <c r="X12" s="202"/>
      <c r="Y12" s="503"/>
      <c r="Z12" s="353"/>
      <c r="AA12" s="134"/>
      <c r="AB12" s="27"/>
    </row>
    <row r="13" spans="1:28" ht="80.099999999999994" customHeight="1">
      <c r="A13" s="126" t="str">
        <f>IF(D13="","",COUNTA($C$6:C13)-COUNTBLANK($C$6:C13)+2)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IF(D13="","",IF(OR(D13="교육지원과",D13="총무과",D13="인사과"),"직접입력",VLOOKUP(D13,구분표!$A$3:$C$258,3,)))</f>
        <v/>
      </c>
      <c r="D13" s="194"/>
      <c r="E13" s="181"/>
      <c r="F13" s="350" t="str">
        <f t="shared" ref="F13:G15" si="15">IF($E13="","",IF($E13="2추","직접입력","-"))</f>
        <v/>
      </c>
      <c r="G13" s="350" t="str">
        <f t="shared" si="15"/>
        <v/>
      </c>
      <c r="H13" s="181"/>
      <c r="I13" s="181"/>
      <c r="J13" s="181"/>
      <c r="K13" s="186"/>
      <c r="L13" s="186"/>
      <c r="M13" s="419" t="str">
        <f t="shared" ref="M13:M15" si="16">IF($E13="","",IF(OR($E13="2추", $E13="1추", $E13="본예산"), "금액입력", "-"))</f>
        <v/>
      </c>
      <c r="N13" s="419" t="str">
        <f t="shared" ref="N13:N15" si="17">IF($E13="", "", IF($E13="2추","금액입력", "-"))</f>
        <v/>
      </c>
      <c r="O13" s="421" t="str">
        <f t="shared" si="11"/>
        <v/>
      </c>
      <c r="P13" s="420"/>
      <c r="Q13" s="421">
        <f t="shared" si="12"/>
        <v>0</v>
      </c>
      <c r="R13" s="422"/>
      <c r="S13" s="423">
        <f t="shared" si="13"/>
        <v>0</v>
      </c>
      <c r="T13" s="133" t="str">
        <f t="shared" si="14"/>
        <v>X</v>
      </c>
      <c r="U13" s="201"/>
      <c r="V13" s="192"/>
      <c r="W13" s="185"/>
      <c r="X13" s="202"/>
      <c r="Y13" s="503"/>
      <c r="Z13" s="353"/>
      <c r="AA13" s="134"/>
      <c r="AB13" s="27"/>
    </row>
    <row r="14" spans="1:28" ht="80.099999999999994" customHeight="1">
      <c r="A14" s="126" t="str">
        <f>IF(D14="","",COUNTA($C$6:C14)-COUNTBLANK($C$6:C14)+2)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IF(D14="","",IF(OR(D14="교육지원과",D14="총무과",D14="인사과"),"직접입력",VLOOKUP(D14,구분표!$A$3:$C$258,3,)))</f>
        <v/>
      </c>
      <c r="D14" s="194"/>
      <c r="E14" s="181"/>
      <c r="F14" s="350" t="str">
        <f t="shared" si="15"/>
        <v/>
      </c>
      <c r="G14" s="350" t="str">
        <f t="shared" si="15"/>
        <v/>
      </c>
      <c r="H14" s="181"/>
      <c r="I14" s="181"/>
      <c r="J14" s="181"/>
      <c r="K14" s="186"/>
      <c r="L14" s="186"/>
      <c r="M14" s="419" t="str">
        <f t="shared" si="16"/>
        <v/>
      </c>
      <c r="N14" s="419" t="str">
        <f t="shared" si="17"/>
        <v/>
      </c>
      <c r="O14" s="421" t="str">
        <f t="shared" si="11"/>
        <v/>
      </c>
      <c r="P14" s="420"/>
      <c r="Q14" s="421">
        <f t="shared" si="12"/>
        <v>0</v>
      </c>
      <c r="R14" s="422"/>
      <c r="S14" s="423">
        <f t="shared" si="13"/>
        <v>0</v>
      </c>
      <c r="T14" s="133" t="str">
        <f t="shared" si="14"/>
        <v>X</v>
      </c>
      <c r="U14" s="201"/>
      <c r="V14" s="192"/>
      <c r="W14" s="185"/>
      <c r="X14" s="202"/>
      <c r="Y14" s="503"/>
      <c r="Z14" s="353"/>
      <c r="AA14" s="134"/>
      <c r="AB14" s="27"/>
    </row>
    <row r="15" spans="1:28" ht="80.099999999999994" customHeight="1">
      <c r="A15" s="126" t="str">
        <f>IF(D15="","",COUNTA($C$6:C15)-COUNTBLANK($C$6:C15)+2)</f>
        <v/>
      </c>
      <c r="B15" s="127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27" t="str">
        <f>IF(D15="","",IF(OR(D15="교육지원과",D15="총무과",D15="인사과"),"직접입력",VLOOKUP(D15,구분표!$A$3:$C$258,3,)))</f>
        <v/>
      </c>
      <c r="D15" s="194"/>
      <c r="E15" s="181"/>
      <c r="F15" s="350" t="str">
        <f t="shared" si="15"/>
        <v/>
      </c>
      <c r="G15" s="350" t="str">
        <f t="shared" si="15"/>
        <v/>
      </c>
      <c r="H15" s="181"/>
      <c r="I15" s="181"/>
      <c r="J15" s="181"/>
      <c r="K15" s="186"/>
      <c r="L15" s="186"/>
      <c r="M15" s="419" t="str">
        <f t="shared" si="16"/>
        <v/>
      </c>
      <c r="N15" s="419" t="str">
        <f t="shared" si="17"/>
        <v/>
      </c>
      <c r="O15" s="421" t="str">
        <f t="shared" si="11"/>
        <v/>
      </c>
      <c r="P15" s="420"/>
      <c r="Q15" s="421">
        <f t="shared" si="12"/>
        <v>0</v>
      </c>
      <c r="R15" s="422"/>
      <c r="S15" s="423">
        <f t="shared" si="13"/>
        <v>0</v>
      </c>
      <c r="T15" s="133" t="str">
        <f t="shared" si="14"/>
        <v>X</v>
      </c>
      <c r="U15" s="201"/>
      <c r="V15" s="192"/>
      <c r="W15" s="185"/>
      <c r="X15" s="202"/>
      <c r="Y15" s="503"/>
      <c r="Z15" s="353"/>
      <c r="AA15" s="134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58"/>
      <c r="P16" s="458"/>
      <c r="Q16" s="458"/>
      <c r="R16" s="459"/>
      <c r="S16" s="460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58"/>
      <c r="P17" s="458"/>
      <c r="Q17" s="458"/>
      <c r="R17" s="459"/>
      <c r="S17" s="460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58"/>
      <c r="P18" s="458"/>
      <c r="Q18" s="458"/>
      <c r="R18" s="459"/>
      <c r="S18" s="460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58"/>
      <c r="P19" s="458"/>
      <c r="Q19" s="458"/>
      <c r="R19" s="459"/>
      <c r="S19" s="460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58"/>
      <c r="P20" s="458"/>
      <c r="Q20" s="458"/>
      <c r="R20" s="459"/>
      <c r="S20" s="460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58"/>
      <c r="P21" s="458"/>
      <c r="Q21" s="458"/>
      <c r="R21" s="459"/>
      <c r="S21" s="460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58"/>
      <c r="P22" s="458"/>
      <c r="Q22" s="458"/>
      <c r="R22" s="459"/>
      <c r="S22" s="460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58"/>
      <c r="P23" s="458"/>
      <c r="Q23" s="458"/>
      <c r="R23" s="458"/>
      <c r="S23" s="460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58"/>
      <c r="P24" s="458"/>
      <c r="Q24" s="458"/>
      <c r="R24" s="458"/>
      <c r="S24" s="460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58"/>
      <c r="P25" s="458"/>
      <c r="Q25" s="458"/>
      <c r="R25" s="458"/>
      <c r="S25" s="460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58"/>
      <c r="P26" s="458"/>
      <c r="Q26" s="458"/>
      <c r="R26" s="458"/>
      <c r="S26" s="460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58"/>
      <c r="P27" s="458"/>
      <c r="Q27" s="458"/>
      <c r="R27" s="458"/>
      <c r="S27" s="460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58"/>
      <c r="P28" s="458"/>
      <c r="Q28" s="458"/>
      <c r="R28" s="458"/>
      <c r="S28" s="460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58"/>
      <c r="P29" s="458"/>
      <c r="Q29" s="458"/>
      <c r="R29" s="458"/>
      <c r="S29" s="460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58"/>
      <c r="P30" s="458"/>
      <c r="Q30" s="458"/>
      <c r="R30" s="458"/>
      <c r="S30" s="460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58"/>
      <c r="P31" s="458"/>
      <c r="Q31" s="458"/>
      <c r="R31" s="458"/>
      <c r="S31" s="460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49"/>
      <c r="P32" s="449"/>
      <c r="Q32" s="449"/>
      <c r="R32" s="449"/>
      <c r="S32" s="461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49"/>
      <c r="P33" s="449"/>
      <c r="Q33" s="449"/>
      <c r="R33" s="449"/>
      <c r="S33" s="461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49"/>
      <c r="P34" s="449"/>
      <c r="Q34" s="449"/>
      <c r="R34" s="449"/>
      <c r="S34" s="461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49"/>
      <c r="P35" s="449"/>
      <c r="Q35" s="449"/>
      <c r="R35" s="449"/>
      <c r="S35" s="461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49"/>
      <c r="P36" s="449"/>
      <c r="Q36" s="449"/>
      <c r="R36" s="449"/>
      <c r="S36" s="461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49"/>
      <c r="P37" s="449"/>
      <c r="Q37" s="449"/>
      <c r="R37" s="449"/>
      <c r="S37" s="461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49"/>
      <c r="P38" s="449"/>
      <c r="Q38" s="449"/>
      <c r="R38" s="449"/>
      <c r="S38" s="461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49"/>
      <c r="P39" s="449"/>
      <c r="Q39" s="449"/>
      <c r="R39" s="449"/>
      <c r="S39" s="461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49"/>
      <c r="P40" s="449"/>
      <c r="Q40" s="449"/>
      <c r="R40" s="449"/>
      <c r="S40" s="461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49"/>
      <c r="P41" s="449"/>
      <c r="Q41" s="449"/>
      <c r="R41" s="449"/>
      <c r="S41" s="461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49"/>
      <c r="P42" s="449"/>
      <c r="Q42" s="449"/>
      <c r="R42" s="449"/>
      <c r="S42" s="461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49"/>
      <c r="P43" s="449"/>
      <c r="Q43" s="449"/>
      <c r="R43" s="449"/>
      <c r="S43" s="461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49"/>
      <c r="P44" s="449"/>
      <c r="Q44" s="449"/>
      <c r="R44" s="449"/>
      <c r="S44" s="461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49"/>
      <c r="P45" s="449"/>
      <c r="Q45" s="449"/>
      <c r="R45" s="449"/>
      <c r="S45" s="461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49"/>
      <c r="P46" s="449"/>
      <c r="Q46" s="449"/>
      <c r="R46" s="449"/>
      <c r="S46" s="461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</mergeCells>
  <phoneticPr fontId="1" type="noConversion"/>
  <conditionalFormatting sqref="O1:O2 O5 O16:O1048576">
    <cfRule type="containsText" dxfId="612" priority="112" operator="containsText" text="금액입력">
      <formula>NOT(ISERROR(SEARCH("금액입력",O1)))</formula>
    </cfRule>
  </conditionalFormatting>
  <conditionalFormatting sqref="F1:G2 F11:G11 F5:G6 F16:G1048576">
    <cfRule type="containsText" dxfId="611" priority="111" operator="containsText" text="직접입력">
      <formula>NOT(ISERROR(SEARCH("직접입력",F1)))</formula>
    </cfRule>
  </conditionalFormatting>
  <conditionalFormatting sqref="K1:K1048576">
    <cfRule type="containsText" dxfId="610" priority="110" operator="containsText" text="세부사업명 입력">
      <formula>NOT(ISERROR(SEARCH("세부사업명 입력",K1)))</formula>
    </cfRule>
  </conditionalFormatting>
  <conditionalFormatting sqref="L1:N2 L3:L4 L16:N1048576 L6:L15">
    <cfRule type="containsText" dxfId="609" priority="109" operator="containsText" text="부기명 입력">
      <formula>NOT(ISERROR(SEARCH("부기명 입력",L1)))</formula>
    </cfRule>
  </conditionalFormatting>
  <conditionalFormatting sqref="L5">
    <cfRule type="containsText" dxfId="608" priority="107" operator="containsText" text="부기명 입력">
      <formula>NOT(ISERROR(SEARCH("부기명 입력",L5)))</formula>
    </cfRule>
  </conditionalFormatting>
  <conditionalFormatting sqref="O7:O10 O12:O15">
    <cfRule type="containsText" dxfId="607" priority="97" operator="containsText" text="금액입력">
      <formula>NOT(ISERROR(SEARCH("금액입력",O7)))</formula>
    </cfRule>
  </conditionalFormatting>
  <conditionalFormatting sqref="M6:S6">
    <cfRule type="containsText" dxfId="606" priority="93" operator="containsText" text="금액입력">
      <formula>NOT(ISERROR(SEARCH("금액입력",M6)))</formula>
    </cfRule>
  </conditionalFormatting>
  <conditionalFormatting sqref="M11:S11">
    <cfRule type="containsText" dxfId="605" priority="60" operator="containsText" text="금액입력">
      <formula>NOT(ISERROR(SEARCH("금액입력",M11)))</formula>
    </cfRule>
  </conditionalFormatting>
  <conditionalFormatting sqref="M5:N5">
    <cfRule type="containsText" dxfId="604" priority="53" operator="containsText" text="금액입력">
      <formula>NOT(ISERROR(SEARCH("금액입력",M5)))</formula>
    </cfRule>
  </conditionalFormatting>
  <conditionalFormatting sqref="O3:O4">
    <cfRule type="containsText" dxfId="603" priority="52" operator="containsText" text="금액입력">
      <formula>NOT(ISERROR(SEARCH("금액입력",O3)))</formula>
    </cfRule>
  </conditionalFormatting>
  <conditionalFormatting sqref="F3:G4">
    <cfRule type="containsText" dxfId="602" priority="50" operator="containsText" text="직접입력">
      <formula>NOT(ISERROR(SEARCH("직접입력",F3)))</formula>
    </cfRule>
  </conditionalFormatting>
  <conditionalFormatting sqref="M3:N4">
    <cfRule type="containsText" dxfId="601" priority="49" operator="containsText" text="금액입력">
      <formula>NOT(ISERROR(SEARCH("금액입력",M3)))</formula>
    </cfRule>
  </conditionalFormatting>
  <conditionalFormatting sqref="B7:C10 B12:C15">
    <cfRule type="containsText" dxfId="600" priority="33" operator="containsText" text="직접입력">
      <formula>NOT(ISERROR(SEARCH("직접입력",B7)))</formula>
    </cfRule>
  </conditionalFormatting>
  <conditionalFormatting sqref="F7:G10">
    <cfRule type="containsText" dxfId="599" priority="28" operator="containsText" text="직접입력">
      <formula>NOT(ISERROR(SEARCH("직접입력",F7)))</formula>
    </cfRule>
  </conditionalFormatting>
  <conditionalFormatting sqref="M7:M10">
    <cfRule type="containsText" dxfId="598" priority="22" operator="containsText" text="부기명 입력">
      <formula>NOT(ISERROR(SEARCH("부기명 입력",M7)))</formula>
    </cfRule>
  </conditionalFormatting>
  <conditionalFormatting sqref="M7:M10">
    <cfRule type="containsText" dxfId="597" priority="21" operator="containsText" text="금액입력">
      <formula>NOT(ISERROR(SEARCH("금액입력",M7)))</formula>
    </cfRule>
  </conditionalFormatting>
  <conditionalFormatting sqref="N7:N10">
    <cfRule type="containsText" dxfId="596" priority="20" operator="containsText" text="금액입력">
      <formula>NOT(ISERROR(SEARCH("금액입력",N7)))</formula>
    </cfRule>
  </conditionalFormatting>
  <conditionalFormatting sqref="M7:M10">
    <cfRule type="containsText" dxfId="595" priority="19" operator="containsText" text="부기명 입력">
      <formula>NOT(ISERROR(SEARCH("부기명 입력",M7)))</formula>
    </cfRule>
  </conditionalFormatting>
  <conditionalFormatting sqref="M7:M10">
    <cfRule type="containsText" dxfId="594" priority="18" operator="containsText" text="금액입력">
      <formula>NOT(ISERROR(SEARCH("금액입력",M7)))</formula>
    </cfRule>
  </conditionalFormatting>
  <conditionalFormatting sqref="N7:N10">
    <cfRule type="containsText" dxfId="593" priority="17" operator="containsText" text="금액입력">
      <formula>NOT(ISERROR(SEARCH("금액입력",N7)))</formula>
    </cfRule>
  </conditionalFormatting>
  <conditionalFormatting sqref="F12:G15">
    <cfRule type="containsText" dxfId="592" priority="7" operator="containsText" text="직접입력">
      <formula>NOT(ISERROR(SEARCH("직접입력",F12)))</formula>
    </cfRule>
  </conditionalFormatting>
  <conditionalFormatting sqref="M12:M15">
    <cfRule type="containsText" dxfId="591" priority="6" operator="containsText" text="부기명 입력">
      <formula>NOT(ISERROR(SEARCH("부기명 입력",M12)))</formula>
    </cfRule>
  </conditionalFormatting>
  <conditionalFormatting sqref="M12:M15">
    <cfRule type="containsText" dxfId="590" priority="5" operator="containsText" text="금액입력">
      <formula>NOT(ISERROR(SEARCH("금액입력",M12)))</formula>
    </cfRule>
  </conditionalFormatting>
  <conditionalFormatting sqref="N12:N15">
    <cfRule type="containsText" dxfId="589" priority="4" operator="containsText" text="금액입력">
      <formula>NOT(ISERROR(SEARCH("금액입력",N12)))</formula>
    </cfRule>
  </conditionalFormatting>
  <conditionalFormatting sqref="M12:M15">
    <cfRule type="containsText" dxfId="588" priority="3" operator="containsText" text="부기명 입력">
      <formula>NOT(ISERROR(SEARCH("부기명 입력",M12)))</formula>
    </cfRule>
  </conditionalFormatting>
  <conditionalFormatting sqref="M12:M15">
    <cfRule type="containsText" dxfId="587" priority="2" operator="containsText" text="금액입력">
      <formula>NOT(ISERROR(SEARCH("금액입력",M12)))</formula>
    </cfRule>
  </conditionalFormatting>
  <conditionalFormatting sqref="N12:N15">
    <cfRule type="containsText" dxfId="586" priority="1" operator="containsText" text="금액입력">
      <formula>NOT(ISERROR(SEARCH("금액입력",N12)))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4"/>
  <sheetViews>
    <sheetView view="pageBreakPreview" zoomScale="55" zoomScaleNormal="55" zoomScaleSheetLayoutView="55" workbookViewId="0">
      <pane ySplit="6" topLeftCell="A7" activePane="bottomLeft" state="frozen"/>
      <selection activeCell="J14" sqref="J14"/>
      <selection pane="bottomLeft" activeCell="J14" sqref="J14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51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14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14" customWidth="1"/>
    <col min="28" max="28" width="16.625" style="20" customWidth="1"/>
    <col min="29" max="29" width="2.625" style="20" customWidth="1"/>
    <col min="30" max="31" width="20.625" style="414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14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14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19" customFormat="1" ht="90" customHeight="1">
      <c r="A1" s="890" t="s">
        <v>1053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  <c r="Q1" s="890"/>
      <c r="R1" s="890"/>
      <c r="S1" s="890"/>
      <c r="T1" s="890"/>
      <c r="U1" s="890"/>
      <c r="V1" s="890"/>
      <c r="W1" s="890"/>
      <c r="X1" s="318"/>
      <c r="Z1" s="897" t="s">
        <v>1047</v>
      </c>
      <c r="AA1" s="899"/>
      <c r="AD1" s="894" t="s">
        <v>1047</v>
      </c>
      <c r="AE1" s="896"/>
      <c r="AG1" s="407"/>
      <c r="AH1" s="408" t="s">
        <v>1089</v>
      </c>
      <c r="AI1" s="406"/>
      <c r="AM1" s="870" t="s">
        <v>1047</v>
      </c>
      <c r="AN1" s="872"/>
      <c r="AQ1" s="863" t="s">
        <v>1047</v>
      </c>
      <c r="AR1" s="865"/>
    </row>
    <row r="2" spans="1:45" ht="31.5">
      <c r="A2" s="22"/>
      <c r="B2" s="51"/>
      <c r="Q2" s="415">
        <f>Q6-M6</f>
        <v>0</v>
      </c>
      <c r="Z2" s="465" t="s">
        <v>1126</v>
      </c>
      <c r="AA2" s="465" t="s">
        <v>1127</v>
      </c>
      <c r="AD2" s="465" t="s">
        <v>1126</v>
      </c>
      <c r="AE2" s="465" t="s">
        <v>1127</v>
      </c>
      <c r="AH2" s="406"/>
      <c r="AI2" s="406"/>
      <c r="AM2" s="513" t="s">
        <v>1128</v>
      </c>
      <c r="AQ2" s="513" t="s">
        <v>1128</v>
      </c>
    </row>
    <row r="3" spans="1:45" ht="24.75" customHeight="1">
      <c r="A3" s="22"/>
      <c r="N3" s="416"/>
      <c r="O3" s="416"/>
      <c r="P3" s="416"/>
      <c r="Q3" s="416"/>
      <c r="R3" s="73"/>
      <c r="W3" s="70" t="s">
        <v>114</v>
      </c>
      <c r="X3" s="49"/>
      <c r="Z3" s="428" t="str">
        <f>IF(Z6='5. 기출'!AB6,"OK","@@")</f>
        <v>OK</v>
      </c>
      <c r="AA3" s="428" t="str">
        <f>IF(AA6='5. 기출'!AC6,"OK","@@")</f>
        <v>OK</v>
      </c>
      <c r="AB3" s="347" t="s">
        <v>297</v>
      </c>
      <c r="AD3" s="428" t="str">
        <f>IF(AD6='5. 기출'!AF6,"OK","@@")</f>
        <v>OK</v>
      </c>
      <c r="AE3" s="428" t="str">
        <f>IF(AE6='5. 기출'!AG6,"OK","@@")</f>
        <v>OK</v>
      </c>
      <c r="AF3" s="347" t="s">
        <v>114</v>
      </c>
      <c r="AM3" s="428" t="str">
        <f>IF(AM6=Z6,"OK","@@")</f>
        <v>OK</v>
      </c>
      <c r="AQ3" s="428" t="str">
        <f>IF(AQ6=AD6,"OK","@@")</f>
        <v>OK</v>
      </c>
    </row>
    <row r="4" spans="1:45" s="294" customFormat="1" ht="60" customHeight="1">
      <c r="A4" s="885" t="s">
        <v>184</v>
      </c>
      <c r="B4" s="889" t="s">
        <v>110</v>
      </c>
      <c r="C4" s="889" t="s">
        <v>111</v>
      </c>
      <c r="D4" s="889" t="s">
        <v>112</v>
      </c>
      <c r="E4" s="891" t="s">
        <v>113</v>
      </c>
      <c r="F4" s="891" t="s">
        <v>1117</v>
      </c>
      <c r="G4" s="891" t="s">
        <v>251</v>
      </c>
      <c r="H4" s="885" t="s">
        <v>505</v>
      </c>
      <c r="I4" s="885" t="s">
        <v>503</v>
      </c>
      <c r="J4" s="885" t="s">
        <v>800</v>
      </c>
      <c r="K4" s="887" t="s">
        <v>2040</v>
      </c>
      <c r="L4" s="887" t="s">
        <v>1693</v>
      </c>
      <c r="M4" s="887" t="s">
        <v>1109</v>
      </c>
      <c r="N4" s="867" t="s">
        <v>1110</v>
      </c>
      <c r="O4" s="866" t="s">
        <v>1113</v>
      </c>
      <c r="P4" s="867" t="s">
        <v>1111</v>
      </c>
      <c r="Q4" s="866" t="s">
        <v>1112</v>
      </c>
      <c r="R4" s="893" t="s">
        <v>253</v>
      </c>
      <c r="S4" s="866" t="s">
        <v>255</v>
      </c>
      <c r="T4" s="866" t="s">
        <v>254</v>
      </c>
      <c r="U4" s="866" t="s">
        <v>256</v>
      </c>
      <c r="V4" s="866" t="s">
        <v>257</v>
      </c>
      <c r="W4" s="891" t="s">
        <v>115</v>
      </c>
      <c r="X4" s="893" t="s">
        <v>244</v>
      </c>
      <c r="Y4" s="293"/>
      <c r="Z4" s="935" t="s">
        <v>117</v>
      </c>
      <c r="AA4" s="935"/>
      <c r="AB4" s="935"/>
      <c r="AD4" s="937" t="s">
        <v>121</v>
      </c>
      <c r="AE4" s="937"/>
      <c r="AF4" s="937"/>
      <c r="AH4" s="880" t="s">
        <v>122</v>
      </c>
      <c r="AI4" s="880" t="s">
        <v>116</v>
      </c>
      <c r="AK4" s="878" t="s">
        <v>1051</v>
      </c>
      <c r="AM4" s="935" t="s">
        <v>124</v>
      </c>
      <c r="AN4" s="935"/>
      <c r="AO4" s="935"/>
      <c r="AQ4" s="937" t="s">
        <v>127</v>
      </c>
      <c r="AR4" s="937"/>
      <c r="AS4" s="937"/>
    </row>
    <row r="5" spans="1:45" s="294" customFormat="1" ht="60" customHeight="1">
      <c r="A5" s="885"/>
      <c r="B5" s="889"/>
      <c r="C5" s="889"/>
      <c r="D5" s="889"/>
      <c r="E5" s="891"/>
      <c r="F5" s="891"/>
      <c r="G5" s="891"/>
      <c r="H5" s="885"/>
      <c r="I5" s="885"/>
      <c r="J5" s="885"/>
      <c r="K5" s="888"/>
      <c r="L5" s="888"/>
      <c r="M5" s="888"/>
      <c r="N5" s="869"/>
      <c r="O5" s="892"/>
      <c r="P5" s="869"/>
      <c r="Q5" s="892"/>
      <c r="R5" s="893"/>
      <c r="S5" s="866"/>
      <c r="T5" s="866"/>
      <c r="U5" s="866"/>
      <c r="V5" s="866"/>
      <c r="W5" s="889"/>
      <c r="X5" s="885"/>
      <c r="Y5" s="293"/>
      <c r="Z5" s="466" t="s">
        <v>118</v>
      </c>
      <c r="AA5" s="466" t="s">
        <v>119</v>
      </c>
      <c r="AB5" s="340" t="s">
        <v>1079</v>
      </c>
      <c r="AD5" s="469" t="s">
        <v>118</v>
      </c>
      <c r="AE5" s="469" t="s">
        <v>119</v>
      </c>
      <c r="AF5" s="340" t="s">
        <v>1079</v>
      </c>
      <c r="AH5" s="880"/>
      <c r="AI5" s="880"/>
      <c r="AK5" s="880"/>
      <c r="AM5" s="429" t="s">
        <v>125</v>
      </c>
      <c r="AN5" s="295" t="s">
        <v>126</v>
      </c>
      <c r="AO5" s="340" t="s">
        <v>1079</v>
      </c>
      <c r="AQ5" s="429" t="s">
        <v>125</v>
      </c>
      <c r="AR5" s="295" t="s">
        <v>126</v>
      </c>
      <c r="AS5" s="340" t="s">
        <v>1079</v>
      </c>
    </row>
    <row r="6" spans="1:45" s="358" customFormat="1" ht="80.099999999999994" customHeight="1">
      <c r="A6" s="356"/>
      <c r="B6" s="149" t="s">
        <v>252</v>
      </c>
      <c r="C6" s="361"/>
      <c r="D6" s="361"/>
      <c r="E6" s="361"/>
      <c r="F6" s="361"/>
      <c r="G6" s="149"/>
      <c r="H6" s="354"/>
      <c r="I6" s="354"/>
      <c r="J6" s="355" t="str">
        <f>SUBTOTAL(3,J$7:J$2012)&amp;"건"</f>
        <v>0건</v>
      </c>
      <c r="K6" s="451">
        <f t="shared" ref="K6:L6" si="0">SUBTOTAL(9,K$7:K$2012)</f>
        <v>0</v>
      </c>
      <c r="L6" s="451">
        <f t="shared" si="0"/>
        <v>0</v>
      </c>
      <c r="M6" s="451">
        <f>SUBTOTAL(9,M$7:M$2012)</f>
        <v>0</v>
      </c>
      <c r="N6" s="451">
        <f t="shared" ref="N6:Q6" si="1">SUBTOTAL(9,N$7:N$2012)</f>
        <v>0</v>
      </c>
      <c r="O6" s="451">
        <f t="shared" si="1"/>
        <v>0</v>
      </c>
      <c r="P6" s="451">
        <f t="shared" si="1"/>
        <v>0</v>
      </c>
      <c r="Q6" s="451">
        <f t="shared" si="1"/>
        <v>0</v>
      </c>
      <c r="R6" s="362"/>
      <c r="S6" s="362"/>
      <c r="T6" s="362"/>
      <c r="U6" s="362"/>
      <c r="V6" s="362"/>
      <c r="W6" s="363"/>
      <c r="X6" s="356"/>
      <c r="Y6" s="364"/>
      <c r="Z6" s="467">
        <f>SUBTOTAL(9,Z$7:Z$2012)</f>
        <v>0</v>
      </c>
      <c r="AA6" s="467">
        <f>SUBTOTAL(9,AA$7:AA$2012)</f>
        <v>0</v>
      </c>
      <c r="AB6" s="356" t="str">
        <f>IF(COUNTIF(AB$8:AB$2012,"@@")&gt;0,"@@","OK")</f>
        <v>OK</v>
      </c>
      <c r="AD6" s="467">
        <f t="shared" ref="AD6:AE6" si="2">SUBTOTAL(9,AD$7:AD$2012)</f>
        <v>0</v>
      </c>
      <c r="AE6" s="467">
        <f t="shared" si="2"/>
        <v>0</v>
      </c>
      <c r="AF6" s="356" t="str">
        <f>IF(COUNTIF(AF$8:AF$2012,"@@")&gt;0,"@@","OK")</f>
        <v>OK</v>
      </c>
      <c r="AH6" s="356"/>
      <c r="AI6" s="356"/>
      <c r="AK6" s="356"/>
      <c r="AM6" s="470">
        <f t="shared" ref="AM6:AN6" si="3">SUBTOTAL(9,AM$7:AM$2012)</f>
        <v>0</v>
      </c>
      <c r="AN6" s="359">
        <f t="shared" si="3"/>
        <v>0</v>
      </c>
      <c r="AO6" s="360" t="str">
        <f>IF(COUNTIF(AO$7:AO$2012,"@@")&gt;0,"@@","OK")</f>
        <v>OK</v>
      </c>
      <c r="AQ6" s="467">
        <f t="shared" ref="AQ6:AR6" si="4">SUBTOTAL(9,AQ$7:AQ$2012)</f>
        <v>0</v>
      </c>
      <c r="AR6" s="357">
        <f t="shared" si="4"/>
        <v>0</v>
      </c>
      <c r="AS6" s="356" t="str">
        <f>IF(COUNTIF(AS$7:AS$2012,"@@")&gt;0,"@@","OK")</f>
        <v>OK</v>
      </c>
    </row>
    <row r="7" spans="1:45" ht="60" customHeight="1">
      <c r="A7" s="141"/>
      <c r="B7" s="886" t="s">
        <v>774</v>
      </c>
      <c r="C7" s="886"/>
      <c r="D7" s="886"/>
      <c r="E7" s="886"/>
      <c r="F7" s="886"/>
      <c r="G7" s="886"/>
      <c r="H7" s="142"/>
      <c r="I7" s="142"/>
      <c r="J7" s="313" t="str">
        <f>SUBTOTAL(3,J8:J10)&amp;"건"</f>
        <v>0건</v>
      </c>
      <c r="K7" s="418">
        <f t="shared" ref="K7:Q7" si="5">SUBTOTAL(9,K8:K10)</f>
        <v>0</v>
      </c>
      <c r="L7" s="418">
        <f t="shared" si="5"/>
        <v>0</v>
      </c>
      <c r="M7" s="418">
        <f t="shared" si="5"/>
        <v>0</v>
      </c>
      <c r="N7" s="418">
        <f t="shared" si="5"/>
        <v>0</v>
      </c>
      <c r="O7" s="418">
        <f t="shared" si="5"/>
        <v>0</v>
      </c>
      <c r="P7" s="418">
        <f t="shared" si="5"/>
        <v>0</v>
      </c>
      <c r="Q7" s="418">
        <f t="shared" si="5"/>
        <v>0</v>
      </c>
      <c r="R7" s="141"/>
      <c r="S7" s="141"/>
      <c r="T7" s="141"/>
      <c r="U7" s="141"/>
      <c r="V7" s="141"/>
      <c r="W7" s="143"/>
      <c r="X7" s="141"/>
      <c r="Y7" s="42"/>
      <c r="Z7" s="418">
        <f>SUBTOTAL(9,Z8:Z10)</f>
        <v>0</v>
      </c>
      <c r="AA7" s="418">
        <f>SUBTOTAL(9,AA8:AA10)</f>
        <v>0</v>
      </c>
      <c r="AB7" s="511" t="str">
        <f>IF(COUNTIF(AB8:AB10,"@@")&gt;0,"@@","OK")</f>
        <v>OK</v>
      </c>
      <c r="AC7" s="43"/>
      <c r="AD7" s="418">
        <f>SUBTOTAL(9,AD8:AD10)</f>
        <v>0</v>
      </c>
      <c r="AE7" s="418">
        <f>SUBTOTAL(9,AE8:AE10)</f>
        <v>0</v>
      </c>
      <c r="AF7" s="511" t="str">
        <f>IF(COUNTIF(AF8:AF10,"@@")&gt;0,"@@","OK")</f>
        <v>OK</v>
      </c>
      <c r="AG7" s="43"/>
      <c r="AH7" s="141"/>
      <c r="AI7" s="141"/>
      <c r="AJ7" s="43"/>
      <c r="AK7" s="141"/>
      <c r="AL7" s="43"/>
      <c r="AM7" s="418">
        <f>SUBTOTAL(9,AM8:AM10)</f>
        <v>0</v>
      </c>
      <c r="AN7" s="418">
        <f>SUBTOTAL(9,AN8:AN10)</f>
        <v>0</v>
      </c>
      <c r="AO7" s="511" t="str">
        <f>IF(COUNTIF(AO8:AO10,"@@")&gt;0,"@@","OK")</f>
        <v>OK</v>
      </c>
      <c r="AP7" s="43"/>
      <c r="AQ7" s="418">
        <f t="shared" ref="AQ7:AR7" si="6">SUBTOTAL(9,AQ8:AQ10)</f>
        <v>0</v>
      </c>
      <c r="AR7" s="418">
        <f t="shared" si="6"/>
        <v>0</v>
      </c>
      <c r="AS7" s="511" t="str">
        <f>IF(COUNTIF(AS8:AS10,"@@")&gt;0,"@@","OK")</f>
        <v>OK</v>
      </c>
    </row>
    <row r="8" spans="1:45" s="19" customFormat="1" ht="80.099999999999994" customHeight="1">
      <c r="A8" s="126" t="str">
        <f>IF(D8="","",COUNTA($C$7:C8)-COUNTBLANK($C$7:C8)+1)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IF(D8="","",IF(OR(D8="교육지원과",D8="총무과",D8="인사과"),"직접입력",VLOOKUP(D8,구분표!$A$3:$C$258,3,)))</f>
        <v/>
      </c>
      <c r="D8" s="194"/>
      <c r="E8" s="181"/>
      <c r="F8" s="350" t="str">
        <f>IF($E8="","",IF($E8="2추","직접입력","-"))</f>
        <v/>
      </c>
      <c r="G8" s="350" t="str">
        <f>IF($E8="","",IF($E8="2추","직접입력","-"))</f>
        <v/>
      </c>
      <c r="H8" s="182"/>
      <c r="I8" s="203" t="str">
        <f>IF(H8="","",VLOOKUP($H8,구분표!$O$3:$P$168,2,FALSE))</f>
        <v/>
      </c>
      <c r="J8" s="183"/>
      <c r="K8" s="419" t="str">
        <f>IF($E8="","",IF(OR($E8="2추",  $E8="1추", $E8="본예산"), "금액입력", "-"))</f>
        <v/>
      </c>
      <c r="L8" s="419" t="str">
        <f>IF($E8="", "", IF($E8="2추","금액입력", "-"))</f>
        <v/>
      </c>
      <c r="M8" s="421" t="str">
        <f>IF($E8="","",SUM(K8:L8))</f>
        <v/>
      </c>
      <c r="N8" s="420"/>
      <c r="O8" s="421">
        <f>SUM(M8:N8)</f>
        <v>0</v>
      </c>
      <c r="P8" s="422"/>
      <c r="Q8" s="423">
        <f>SUM(M8,P8)</f>
        <v>0</v>
      </c>
      <c r="R8" s="133" t="str">
        <f t="shared" ref="R8" si="7">IF(AND((O8=0),(Q8&gt;0)),"O",IF(AND((N8&lt;0),(O8-Q8&lt;0)),"O","X"))</f>
        <v>X</v>
      </c>
      <c r="S8" s="198"/>
      <c r="T8" s="193"/>
      <c r="U8" s="185"/>
      <c r="V8" s="172"/>
      <c r="W8" s="133" t="str">
        <f>IF($H8="","",IF(OR($H8="511-01", $H8="511-02", $H8="511-03", $H8="311-02", $H8="311-04", $H8="321-01"),"국도비","도비"))</f>
        <v/>
      </c>
      <c r="X8" s="185"/>
      <c r="Y8" s="44"/>
      <c r="Z8" s="468" t="str">
        <f>IF($W8="", "", IF($W8="국도비",$N8, 0))</f>
        <v/>
      </c>
      <c r="AA8" s="468" t="str">
        <f>IF($W8="", "", IF($W8="도비",$N8, 0))</f>
        <v/>
      </c>
      <c r="AB8" s="336" t="str">
        <f>IF($W8="", "", IF($N8=SUM($Z8:$AA8),"OK","@@"))</f>
        <v/>
      </c>
      <c r="AC8" s="45"/>
      <c r="AD8" s="468" t="str">
        <f>IF($W8="", "", IF($W8="국도비",$P8, 0))</f>
        <v/>
      </c>
      <c r="AE8" s="468" t="str">
        <f>IF($W8="", "", IF($W8="도비",$P8, 0))</f>
        <v/>
      </c>
      <c r="AF8" s="336" t="str">
        <f>IF($W8="", "", IF($P8=SUM($AD8:$AE8),"OK","@@"))</f>
        <v/>
      </c>
      <c r="AG8" s="45"/>
      <c r="AH8" s="336" t="str">
        <f>IF(AK8="","",IF($W8="도비","-",CONCATENATE(AK8,"-",COUNTIF(AK$7:$AK8,AK8))))</f>
        <v/>
      </c>
      <c r="AI8" s="336" t="str">
        <f>IF($H8="","",IF($H8="511-01","국비",IF($H8="511-02","균특",IF($H8="511-03","기금",IF($H8="311-02","특교",IF($H8="311-04","소교",IF($H8="321-01","소멸","도비")))))))</f>
        <v/>
      </c>
      <c r="AJ8" s="45"/>
      <c r="AK8" s="336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32" t="str">
        <f>IF($AH8="","",IF($AH8="-",0, SUMIFS('5. 기출'!$AB$7:$AB$2012,'5. 기출'!$AJ$7:$AJ$2012,$AH8)))</f>
        <v/>
      </c>
      <c r="AN8" s="339" t="str">
        <f>IF($AH8="","",IF($AH8="-", 0, COUNTIF('5. 기출'!$AJ$7:$AJ$2012,$AH8)))</f>
        <v/>
      </c>
      <c r="AO8" s="336" t="str">
        <f>IF($AH8="", "", IF($Z8=$AM8,"OK","@@"))</f>
        <v/>
      </c>
      <c r="AP8" s="46"/>
      <c r="AQ8" s="432" t="str">
        <f>IF($AH8="","",IF($AH8="-",0, SUMIFS('5. 기출'!$AF$7:$AF$2012,'5. 기출'!$AJ$7:$AJ$2012,$AH8)))</f>
        <v/>
      </c>
      <c r="AR8" s="339" t="str">
        <f>IF($AH8="","",IF($AH8="-", 0, COUNTIF('5. 기출'!$AJ$7:$AJ$2012,$AH8)))</f>
        <v/>
      </c>
      <c r="AS8" s="336" t="str">
        <f>IF($AH8="", "", IF($AD8=$AQ8,"OK","@@"))</f>
        <v/>
      </c>
    </row>
    <row r="9" spans="1:45" s="19" customFormat="1" ht="80.099999999999994" customHeight="1">
      <c r="A9" s="126" t="str">
        <f>IF(D9="","",COUNTA($C$7:C9)-COUNTBLANK($C$7:C9)+1)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IF(D9="","",IF(OR(D9="교육지원과",D9="총무과",D9="인사과"),"직접입력",VLOOKUP(D9,구분표!$A$3:$C$258,3,)))</f>
        <v/>
      </c>
      <c r="D9" s="194"/>
      <c r="E9" s="181"/>
      <c r="F9" s="350" t="str">
        <f t="shared" ref="F9:G10" si="8">IF($E9="","",IF($E9="2추","직접입력","-"))</f>
        <v/>
      </c>
      <c r="G9" s="350" t="str">
        <f t="shared" si="8"/>
        <v/>
      </c>
      <c r="H9" s="182"/>
      <c r="I9" s="203" t="str">
        <f>IF(H9="","",VLOOKUP($H9,구분표!$O$3:$P$168,2,FALSE))</f>
        <v/>
      </c>
      <c r="J9" s="183"/>
      <c r="K9" s="419" t="str">
        <f t="shared" ref="K9:K10" si="9">IF($E9="","",IF(OR($E9="2추",  $E9="1추", $E9="본예산"), "금액입력", "-"))</f>
        <v/>
      </c>
      <c r="L9" s="419" t="str">
        <f t="shared" ref="L9:L10" si="10">IF($E9="", "", IF($E9="2추","금액입력", "-"))</f>
        <v/>
      </c>
      <c r="M9" s="421" t="str">
        <f t="shared" ref="M9:M10" si="11">IF($E9="","",SUM(K9:L9))</f>
        <v/>
      </c>
      <c r="N9" s="420"/>
      <c r="O9" s="421">
        <f t="shared" ref="O9:O10" si="12">SUM(M9:N9)</f>
        <v>0</v>
      </c>
      <c r="P9" s="422"/>
      <c r="Q9" s="423">
        <f t="shared" ref="Q9:Q10" si="13">SUM(M9,P9)</f>
        <v>0</v>
      </c>
      <c r="R9" s="133" t="str">
        <f t="shared" ref="R9:R10" si="14">IF(AND((O9=0),(Q9&gt;0)),"O",IF(AND((N9&lt;0),(O9-Q9&lt;0)),"O","X"))</f>
        <v>X</v>
      </c>
      <c r="S9" s="198"/>
      <c r="T9" s="193"/>
      <c r="U9" s="185"/>
      <c r="V9" s="172"/>
      <c r="W9" s="133" t="str">
        <f t="shared" ref="W9:W10" si="15">IF($H9="","",IF(OR($H9="511-01", $H9="511-02", $H9="511-03", $H9="311-02", $H9="311-04", $H9="321-01"),"국도비","도비"))</f>
        <v/>
      </c>
      <c r="X9" s="185"/>
      <c r="Y9" s="44"/>
      <c r="Z9" s="468" t="str">
        <f t="shared" ref="Z9:Z10" si="16">IF($W9="", "", IF($W9="국도비",$N9, 0))</f>
        <v/>
      </c>
      <c r="AA9" s="468" t="str">
        <f t="shared" ref="AA9:AA10" si="17">IF($W9="", "", IF($W9="도비",$N9, 0))</f>
        <v/>
      </c>
      <c r="AB9" s="336" t="str">
        <f t="shared" ref="AB9:AB10" si="18">IF($W9="", "", IF($N9=SUM($Z9:$AA9),"OK","@@"))</f>
        <v/>
      </c>
      <c r="AC9" s="45"/>
      <c r="AD9" s="468" t="str">
        <f t="shared" ref="AD9:AD10" si="19">IF($W9="", "", IF($W9="국도비",$P9, 0))</f>
        <v/>
      </c>
      <c r="AE9" s="468" t="str">
        <f t="shared" ref="AE9:AE10" si="20">IF($W9="", "", IF($W9="도비",$P9, 0))</f>
        <v/>
      </c>
      <c r="AF9" s="336" t="str">
        <f t="shared" ref="AF9:AF10" si="21">IF($W9="", "", IF($P9=SUM($AD9:$AE9),"OK","@@"))</f>
        <v/>
      </c>
      <c r="AG9" s="45"/>
      <c r="AH9" s="336" t="str">
        <f>IF(AK9="","",IF($W9="도비","-",CONCATENATE(AK9,"-",COUNTIF(AK$7:$AK9,AK9))))</f>
        <v/>
      </c>
      <c r="AI9" s="336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36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32" t="str">
        <f>IF($AH9="","",IF($AH9="-",0, SUMIFS('5. 기출'!$AB$7:$AB$2012,'5. 기출'!$AJ$7:$AJ$2012,$AH9)))</f>
        <v/>
      </c>
      <c r="AN9" s="339" t="str">
        <f>IF($AH9="","",IF($AH9="-", 0, COUNTIF('5. 기출'!$AJ$7:$AJ$2012,$AH9)))</f>
        <v/>
      </c>
      <c r="AO9" s="336" t="str">
        <f t="shared" ref="AO9:AO10" si="23">IF($AH9="", "", IF($Z9=$AM9,"OK","@@"))</f>
        <v/>
      </c>
      <c r="AP9" s="46"/>
      <c r="AQ9" s="432" t="str">
        <f>IF($AH9="","",IF($AH9="-",0, SUMIFS('5. 기출'!$AF$7:$AF$2012,'5. 기출'!$AJ$7:$AJ$2012,$AH9)))</f>
        <v/>
      </c>
      <c r="AR9" s="339" t="str">
        <f>IF($AH9="","",IF($AH9="-", 0, COUNTIF('5. 기출'!$AJ$7:$AJ$2012,$AH9)))</f>
        <v/>
      </c>
      <c r="AS9" s="336" t="str">
        <f t="shared" ref="AS9:AS10" si="24">IF($AH9="", "", IF($AD9=$AQ9,"OK","@@"))</f>
        <v/>
      </c>
    </row>
    <row r="10" spans="1:45" s="19" customFormat="1" ht="80.099999999999994" customHeight="1">
      <c r="A10" s="126" t="str">
        <f>IF(D10="","",COUNTA($C$7:C10)-COUNTBLANK($C$7:C10)+1)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IF(D10="","",IF(OR(D10="교육지원과",D10="총무과",D10="인사과"),"직접입력",VLOOKUP(D10,구분표!$A$3:$C$258,3,)))</f>
        <v/>
      </c>
      <c r="D10" s="194"/>
      <c r="E10" s="181"/>
      <c r="F10" s="350" t="str">
        <f t="shared" si="8"/>
        <v/>
      </c>
      <c r="G10" s="350" t="str">
        <f t="shared" si="8"/>
        <v/>
      </c>
      <c r="H10" s="182"/>
      <c r="I10" s="203" t="str">
        <f>IF(H10="","",VLOOKUP($H10,구분표!$O$3:$P$168,2,FALSE))</f>
        <v/>
      </c>
      <c r="J10" s="183"/>
      <c r="K10" s="419" t="str">
        <f t="shared" si="9"/>
        <v/>
      </c>
      <c r="L10" s="419" t="str">
        <f t="shared" si="10"/>
        <v/>
      </c>
      <c r="M10" s="421" t="str">
        <f t="shared" si="11"/>
        <v/>
      </c>
      <c r="N10" s="420"/>
      <c r="O10" s="421">
        <f t="shared" si="12"/>
        <v>0</v>
      </c>
      <c r="P10" s="422"/>
      <c r="Q10" s="423">
        <f t="shared" si="13"/>
        <v>0</v>
      </c>
      <c r="R10" s="133" t="str">
        <f t="shared" si="14"/>
        <v>X</v>
      </c>
      <c r="S10" s="198"/>
      <c r="T10" s="193"/>
      <c r="U10" s="185"/>
      <c r="V10" s="172"/>
      <c r="W10" s="133" t="str">
        <f t="shared" si="15"/>
        <v/>
      </c>
      <c r="X10" s="185"/>
      <c r="Y10" s="44"/>
      <c r="Z10" s="468" t="str">
        <f t="shared" si="16"/>
        <v/>
      </c>
      <c r="AA10" s="468" t="str">
        <f t="shared" si="17"/>
        <v/>
      </c>
      <c r="AB10" s="336" t="str">
        <f t="shared" si="18"/>
        <v/>
      </c>
      <c r="AC10" s="45"/>
      <c r="AD10" s="468" t="str">
        <f t="shared" si="19"/>
        <v/>
      </c>
      <c r="AE10" s="468" t="str">
        <f t="shared" si="20"/>
        <v/>
      </c>
      <c r="AF10" s="336" t="str">
        <f t="shared" si="21"/>
        <v/>
      </c>
      <c r="AG10" s="45"/>
      <c r="AH10" s="336" t="str">
        <f>IF(AK10="","",IF($W10="도비","-",CONCATENATE(AK10,"-",COUNTIF(AK$7:$AK10,AK10))))</f>
        <v/>
      </c>
      <c r="AI10" s="336" t="str">
        <f t="shared" si="22"/>
        <v/>
      </c>
      <c r="AJ10" s="45"/>
      <c r="AK10" s="336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32" t="str">
        <f>IF($AH10="","",IF($AH10="-",0, SUMIFS('5. 기출'!$AB$7:$AB$2012,'5. 기출'!$AJ$7:$AJ$2012,$AH10)))</f>
        <v/>
      </c>
      <c r="AN10" s="339" t="str">
        <f>IF($AH10="","",IF($AH10="-", 0, COUNTIF('5. 기출'!$AJ$7:$AJ$2012,$AH10)))</f>
        <v/>
      </c>
      <c r="AO10" s="336" t="str">
        <f t="shared" si="23"/>
        <v/>
      </c>
      <c r="AP10" s="46"/>
      <c r="AQ10" s="432" t="str">
        <f>IF($AH10="","",IF($AH10="-",0, SUMIFS('5. 기출'!$AF$7:$AF$2012,'5. 기출'!$AJ$7:$AJ$2012,$AH10)))</f>
        <v/>
      </c>
      <c r="AR10" s="339" t="str">
        <f>IF($AH10="","",IF($AH10="-", 0, COUNTIF('5. 기출'!$AJ$7:$AJ$2012,$AH10)))</f>
        <v/>
      </c>
      <c r="AS10" s="336" t="str">
        <f t="shared" si="24"/>
        <v/>
      </c>
    </row>
    <row r="11" spans="1:45" ht="60" customHeight="1">
      <c r="A11" s="141"/>
      <c r="B11" s="886" t="s">
        <v>775</v>
      </c>
      <c r="C11" s="886"/>
      <c r="D11" s="886"/>
      <c r="E11" s="886"/>
      <c r="F11" s="886"/>
      <c r="G11" s="886"/>
      <c r="H11" s="78"/>
      <c r="I11" s="78"/>
      <c r="J11" s="313" t="str">
        <f>SUBTOTAL(3,J12:J14)&amp;"건"</f>
        <v>0건</v>
      </c>
      <c r="K11" s="418">
        <f t="shared" ref="K11:Q11" si="25">SUBTOTAL(9,K12:K14)</f>
        <v>0</v>
      </c>
      <c r="L11" s="418">
        <f t="shared" si="25"/>
        <v>0</v>
      </c>
      <c r="M11" s="418">
        <f t="shared" si="25"/>
        <v>0</v>
      </c>
      <c r="N11" s="418">
        <f t="shared" si="25"/>
        <v>0</v>
      </c>
      <c r="O11" s="418">
        <f t="shared" si="25"/>
        <v>0</v>
      </c>
      <c r="P11" s="418">
        <f t="shared" si="25"/>
        <v>0</v>
      </c>
      <c r="Q11" s="418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18">
        <f>SUBTOTAL(9,Z12:Z14)</f>
        <v>0</v>
      </c>
      <c r="AA11" s="418">
        <f>SUBTOTAL(9,AA12:AA14)</f>
        <v>0</v>
      </c>
      <c r="AB11" s="511" t="str">
        <f>IF(COUNTIF(AB12:AB14,"@@")&gt;0,"@@","OK")</f>
        <v>OK</v>
      </c>
      <c r="AC11" s="43"/>
      <c r="AD11" s="418">
        <f>SUBTOTAL(9,AD12:AD14)</f>
        <v>0</v>
      </c>
      <c r="AE11" s="418">
        <f>SUBTOTAL(9,AE12:AE14)</f>
        <v>0</v>
      </c>
      <c r="AF11" s="511" t="str">
        <f>IF(COUNTIF(AF12:AF14,"@@")&gt;0,"@@","OK")</f>
        <v>OK</v>
      </c>
      <c r="AG11" s="43"/>
      <c r="AH11" s="141"/>
      <c r="AI11" s="141"/>
      <c r="AJ11" s="43"/>
      <c r="AK11" s="141"/>
      <c r="AL11" s="43"/>
      <c r="AM11" s="418">
        <f>SUBTOTAL(9,AM12:AM14)</f>
        <v>0</v>
      </c>
      <c r="AN11" s="418">
        <f>SUBTOTAL(9,AN12:AN14)</f>
        <v>0</v>
      </c>
      <c r="AO11" s="511" t="str">
        <f>IF(COUNTIF(AO12:AO14,"@@")&gt;0,"@@","OK")</f>
        <v>OK</v>
      </c>
      <c r="AP11" s="43"/>
      <c r="AQ11" s="418">
        <f t="shared" ref="AQ11" si="26">SUBTOTAL(9,AQ12:AQ14)</f>
        <v>0</v>
      </c>
      <c r="AR11" s="418">
        <f t="shared" ref="AR11" si="27">SUBTOTAL(9,AR12:AR14)</f>
        <v>0</v>
      </c>
      <c r="AS11" s="511" t="str">
        <f>IF(COUNTIF(AS12:AS14,"@@")&gt;0,"@@","OK")</f>
        <v>OK</v>
      </c>
    </row>
    <row r="12" spans="1:45" s="19" customFormat="1" ht="80.099999999999994" customHeight="1">
      <c r="A12" s="126" t="str">
        <f>IF(D12="","",COUNTA($C$7:C12)-COUNTBLANK($C$7:C12)+2)</f>
        <v/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27" t="str">
        <f>IF(D12="","",IF(OR(D12="교육지원과",D12="총무과",D12="인사과"),"직접입력",VLOOKUP(D12,구분표!$A$3:$C$258,3,)))</f>
        <v/>
      </c>
      <c r="D12" s="194"/>
      <c r="E12" s="181"/>
      <c r="F12" s="350" t="str">
        <f>IF($E12="","",IF($E12="2추","직접입력","-"))</f>
        <v/>
      </c>
      <c r="G12" s="350" t="str">
        <f>IF($E12="","",IF($E12="2추","직접입력","-"))</f>
        <v/>
      </c>
      <c r="H12" s="182"/>
      <c r="I12" s="203" t="str">
        <f>IF(H12="","",VLOOKUP($H12,구분표!$O$3:$P$168,2,FALSE))</f>
        <v/>
      </c>
      <c r="J12" s="183"/>
      <c r="K12" s="419" t="str">
        <f>IF($E12="","",IF(OR($E12="2추",  $E12="1추", $E12="본예산"), "금액입력", "-"))</f>
        <v/>
      </c>
      <c r="L12" s="419" t="str">
        <f>IF($E12="", "", IF($E12="2추","금액입력", "-"))</f>
        <v/>
      </c>
      <c r="M12" s="421" t="str">
        <f t="shared" ref="M12:M14" si="28">IF($E12="","",SUM(K12:L12))</f>
        <v/>
      </c>
      <c r="N12" s="420"/>
      <c r="O12" s="421">
        <f t="shared" ref="O12:O14" si="29">SUM(M12:N12)</f>
        <v>0</v>
      </c>
      <c r="P12" s="422"/>
      <c r="Q12" s="423">
        <f t="shared" ref="Q12:Q14" si="30">SUM(M12,P12)</f>
        <v>0</v>
      </c>
      <c r="R12" s="133" t="str">
        <f t="shared" ref="R12:R14" si="31">IF(AND((O12=0),(Q12&gt;0)),"O",IF(AND((N12&lt;0),(O12-Q12&lt;0)),"O","X"))</f>
        <v>X</v>
      </c>
      <c r="S12" s="198"/>
      <c r="T12" s="193"/>
      <c r="U12" s="185"/>
      <c r="V12" s="172"/>
      <c r="W12" s="133" t="str">
        <f t="shared" ref="W12:W14" si="32">IF($H12="","",IF(OR($H12="511-01", $H12="511-02", $H12="511-03", $H12="311-02", $H12="311-04", $H12="321-01"),"국도비","도비"))</f>
        <v/>
      </c>
      <c r="X12" s="185"/>
      <c r="Y12" s="44"/>
      <c r="Z12" s="468" t="str">
        <f t="shared" ref="Z12:Z14" si="33">IF($W12="", "", IF($W12="국도비",$N12, 0))</f>
        <v/>
      </c>
      <c r="AA12" s="468" t="str">
        <f t="shared" ref="AA12:AA14" si="34">IF($W12="", "", IF($W12="도비",$N12, 0))</f>
        <v/>
      </c>
      <c r="AB12" s="336" t="str">
        <f t="shared" ref="AB12:AB14" si="35">IF($W12="", "", IF($N12=SUM($Z12:$AA12),"OK","@@"))</f>
        <v/>
      </c>
      <c r="AC12" s="45"/>
      <c r="AD12" s="468" t="str">
        <f t="shared" ref="AD12:AD14" si="36">IF($W12="", "", IF($W12="국도비",$P12, 0))</f>
        <v/>
      </c>
      <c r="AE12" s="468" t="str">
        <f t="shared" ref="AE12:AE14" si="37">IF($W12="", "", IF($W12="도비",$P12, 0))</f>
        <v/>
      </c>
      <c r="AF12" s="336" t="str">
        <f t="shared" ref="AF12:AF14" si="38">IF($W12="", "", IF($P12=SUM($AD12:$AE12),"OK","@@"))</f>
        <v/>
      </c>
      <c r="AG12" s="45"/>
      <c r="AH12" s="336" t="str">
        <f>IF(AK12="","",IF($W12="도비","-",CONCATENATE(AK12,"-",COUNTIF(AK$7:$AK12,AK12))))</f>
        <v/>
      </c>
      <c r="AI12" s="336" t="str">
        <f t="shared" ref="AI12:AI14" si="39">IF($H12="","",IF($H12="511-01","국비",IF($H12="511-02","균특",IF($H12="511-03","기금",IF($H12="311-02","특교",IF($H12="311-04","소교",IF($H12="321-01","소멸","도비")))))))</f>
        <v/>
      </c>
      <c r="AJ12" s="45"/>
      <c r="AK12" s="336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32" t="str">
        <f>IF($AH12="","",IF($AH12="-",0, SUMIFS('5. 기출'!$AB$7:$AB$2012,'5. 기출'!$AJ$7:$AJ$2012,$AH12)))</f>
        <v/>
      </c>
      <c r="AN12" s="339" t="str">
        <f>IF($AH12="","",IF($AH12="-", 0, COUNTIF('5. 기출'!$AJ$7:$AJ$2012,$AH12)))</f>
        <v/>
      </c>
      <c r="AO12" s="336" t="str">
        <f t="shared" ref="AO12:AO14" si="40">IF($AH12="", "", IF($Z12=$AM12,"OK","@@"))</f>
        <v/>
      </c>
      <c r="AP12" s="46"/>
      <c r="AQ12" s="432" t="str">
        <f>IF($AH12="","",IF($AH12="-",0, SUMIFS('5. 기출'!$AF$7:$AF$2012,'5. 기출'!$AJ$7:$AJ$2012,$AH12)))</f>
        <v/>
      </c>
      <c r="AR12" s="339" t="str">
        <f>IF($AH12="","",IF($AH12="-", 0, COUNTIF('5. 기출'!$AJ$7:$AJ$2012,$AH12)))</f>
        <v/>
      </c>
      <c r="AS12" s="336" t="str">
        <f t="shared" ref="AS12:AS14" si="41">IF($AH12="", "", IF($AD12=$AQ12,"OK","@@"))</f>
        <v/>
      </c>
    </row>
    <row r="13" spans="1:45" s="19" customFormat="1" ht="80.099999999999994" customHeight="1">
      <c r="A13" s="126" t="str">
        <f>IF(D13="","",COUNTA($C$7:C13)-COUNTBLANK($C$7:C13)+2)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IF(D13="","",IF(OR(D13="교육지원과",D13="총무과",D13="인사과"),"직접입력",VLOOKUP(D13,구분표!$A$3:$C$258,3,)))</f>
        <v/>
      </c>
      <c r="D13" s="194"/>
      <c r="E13" s="181"/>
      <c r="F13" s="350" t="str">
        <f t="shared" ref="F13:G14" si="42">IF($E13="","",IF($E13="2추","직접입력","-"))</f>
        <v/>
      </c>
      <c r="G13" s="350" t="str">
        <f t="shared" si="42"/>
        <v/>
      </c>
      <c r="H13" s="182"/>
      <c r="I13" s="203" t="str">
        <f>IF(H13="","",VLOOKUP($H13,구분표!$O$3:$P$168,2,FALSE))</f>
        <v/>
      </c>
      <c r="J13" s="183"/>
      <c r="K13" s="419" t="str">
        <f t="shared" ref="K13:K14" si="43">IF($E13="","",IF(OR($E13="2추",  $E13="1추", $E13="본예산"), "금액입력", "-"))</f>
        <v/>
      </c>
      <c r="L13" s="419" t="str">
        <f t="shared" ref="L13:L14" si="44">IF($E13="", "", IF($E13="2추","금액입력", "-"))</f>
        <v/>
      </c>
      <c r="M13" s="421" t="str">
        <f t="shared" si="28"/>
        <v/>
      </c>
      <c r="N13" s="420"/>
      <c r="O13" s="421">
        <f t="shared" si="29"/>
        <v>0</v>
      </c>
      <c r="P13" s="422"/>
      <c r="Q13" s="423">
        <f t="shared" si="30"/>
        <v>0</v>
      </c>
      <c r="R13" s="133" t="str">
        <f t="shared" si="31"/>
        <v>X</v>
      </c>
      <c r="S13" s="198"/>
      <c r="T13" s="193"/>
      <c r="U13" s="185"/>
      <c r="V13" s="172"/>
      <c r="W13" s="133" t="str">
        <f t="shared" si="32"/>
        <v/>
      </c>
      <c r="X13" s="185"/>
      <c r="Y13" s="44"/>
      <c r="Z13" s="468" t="str">
        <f t="shared" si="33"/>
        <v/>
      </c>
      <c r="AA13" s="468" t="str">
        <f t="shared" si="34"/>
        <v/>
      </c>
      <c r="AB13" s="336" t="str">
        <f t="shared" si="35"/>
        <v/>
      </c>
      <c r="AC13" s="45"/>
      <c r="AD13" s="468" t="str">
        <f t="shared" si="36"/>
        <v/>
      </c>
      <c r="AE13" s="468" t="str">
        <f t="shared" si="37"/>
        <v/>
      </c>
      <c r="AF13" s="336" t="str">
        <f t="shared" si="38"/>
        <v/>
      </c>
      <c r="AG13" s="45"/>
      <c r="AH13" s="336" t="str">
        <f>IF(AK13="","",IF($W13="도비","-",CONCATENATE(AK13,"-",COUNTIF(AK$7:$AK13,AK13))))</f>
        <v/>
      </c>
      <c r="AI13" s="336" t="str">
        <f t="shared" si="39"/>
        <v/>
      </c>
      <c r="AJ13" s="45"/>
      <c r="AK13" s="336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32" t="str">
        <f>IF($AH13="","",IF($AH13="-",0, SUMIFS('5. 기출'!$AB$7:$AB$2012,'5. 기출'!$AJ$7:$AJ$2012,$AH13)))</f>
        <v/>
      </c>
      <c r="AN13" s="339" t="str">
        <f>IF($AH13="","",IF($AH13="-", 0, COUNTIF('5. 기출'!$AJ$7:$AJ$2012,$AH13)))</f>
        <v/>
      </c>
      <c r="AO13" s="336" t="str">
        <f t="shared" si="40"/>
        <v/>
      </c>
      <c r="AP13" s="46"/>
      <c r="AQ13" s="432" t="str">
        <f>IF($AH13="","",IF($AH13="-",0, SUMIFS('5. 기출'!$AF$7:$AF$2012,'5. 기출'!$AJ$7:$AJ$2012,$AH13)))</f>
        <v/>
      </c>
      <c r="AR13" s="339" t="str">
        <f>IF($AH13="","",IF($AH13="-", 0, COUNTIF('5. 기출'!$AJ$7:$AJ$2012,$AH13)))</f>
        <v/>
      </c>
      <c r="AS13" s="336" t="str">
        <f t="shared" si="41"/>
        <v/>
      </c>
    </row>
    <row r="14" spans="1:45" s="19" customFormat="1" ht="80.099999999999994" customHeight="1">
      <c r="A14" s="126" t="str">
        <f>IF(D14="","",COUNTA($C$7:C14)-COUNTBLANK($C$7:C14)+2)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IF(D14="","",IF(OR(D14="교육지원과",D14="총무과",D14="인사과"),"직접입력",VLOOKUP(D14,구분표!$A$3:$C$258,3,)))</f>
        <v/>
      </c>
      <c r="D14" s="194"/>
      <c r="E14" s="181"/>
      <c r="F14" s="350" t="str">
        <f t="shared" si="42"/>
        <v/>
      </c>
      <c r="G14" s="350" t="str">
        <f t="shared" si="42"/>
        <v/>
      </c>
      <c r="H14" s="182"/>
      <c r="I14" s="203" t="str">
        <f>IF(H14="","",VLOOKUP($H14,구분표!$O$3:$P$168,2,FALSE))</f>
        <v/>
      </c>
      <c r="J14" s="183"/>
      <c r="K14" s="419" t="str">
        <f t="shared" si="43"/>
        <v/>
      </c>
      <c r="L14" s="419" t="str">
        <f t="shared" si="44"/>
        <v/>
      </c>
      <c r="M14" s="421" t="str">
        <f t="shared" si="28"/>
        <v/>
      </c>
      <c r="N14" s="420"/>
      <c r="O14" s="421">
        <f t="shared" si="29"/>
        <v>0</v>
      </c>
      <c r="P14" s="422"/>
      <c r="Q14" s="423">
        <f t="shared" si="30"/>
        <v>0</v>
      </c>
      <c r="R14" s="133" t="str">
        <f t="shared" si="31"/>
        <v>X</v>
      </c>
      <c r="S14" s="198"/>
      <c r="T14" s="193"/>
      <c r="U14" s="185"/>
      <c r="V14" s="172"/>
      <c r="W14" s="133" t="str">
        <f t="shared" si="32"/>
        <v/>
      </c>
      <c r="X14" s="185"/>
      <c r="Y14" s="44"/>
      <c r="Z14" s="468" t="str">
        <f t="shared" si="33"/>
        <v/>
      </c>
      <c r="AA14" s="468" t="str">
        <f t="shared" si="34"/>
        <v/>
      </c>
      <c r="AB14" s="336" t="str">
        <f t="shared" si="35"/>
        <v/>
      </c>
      <c r="AC14" s="45"/>
      <c r="AD14" s="468" t="str">
        <f t="shared" si="36"/>
        <v/>
      </c>
      <c r="AE14" s="468" t="str">
        <f t="shared" si="37"/>
        <v/>
      </c>
      <c r="AF14" s="336" t="str">
        <f t="shared" si="38"/>
        <v/>
      </c>
      <c r="AG14" s="45"/>
      <c r="AH14" s="336" t="str">
        <f>IF(AK14="","",IF($W14="도비","-",CONCATENATE(AK14,"-",COUNTIF(AK$7:$AK14,AK14))))</f>
        <v/>
      </c>
      <c r="AI14" s="336" t="str">
        <f t="shared" si="39"/>
        <v/>
      </c>
      <c r="AJ14" s="45"/>
      <c r="AK14" s="336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32" t="str">
        <f>IF($AH14="","",IF($AH14="-",0, SUMIFS('5. 기출'!$AB$7:$AB$2012,'5. 기출'!$AJ$7:$AJ$2012,$AH14)))</f>
        <v/>
      </c>
      <c r="AN14" s="339" t="str">
        <f>IF($AH14="","",IF($AH14="-", 0, COUNTIF('5. 기출'!$AJ$7:$AJ$2012,$AH14)))</f>
        <v/>
      </c>
      <c r="AO14" s="336" t="str">
        <f t="shared" si="40"/>
        <v/>
      </c>
      <c r="AP14" s="46"/>
      <c r="AQ14" s="432" t="str">
        <f>IF($AH14="","",IF($AH14="-",0, SUMIFS('5. 기출'!$AF$7:$AF$2012,'5. 기출'!$AJ$7:$AJ$2012,$AH14)))</f>
        <v/>
      </c>
      <c r="AR14" s="339" t="str">
        <f>IF($AH14="","",IF($AH14="-", 0, COUNTIF('5. 기출'!$AJ$7:$AJ$2012,$AH14)))</f>
        <v/>
      </c>
      <c r="AS14" s="336" t="str">
        <f t="shared" si="41"/>
        <v/>
      </c>
    </row>
    <row r="15" spans="1:45" ht="60" customHeight="1">
      <c r="A15" s="141"/>
      <c r="B15" s="886" t="s">
        <v>776</v>
      </c>
      <c r="C15" s="886"/>
      <c r="D15" s="886"/>
      <c r="E15" s="886"/>
      <c r="F15" s="886"/>
      <c r="G15" s="886"/>
      <c r="H15" s="78"/>
      <c r="I15" s="78"/>
      <c r="J15" s="313" t="str">
        <f>SUBTOTAL(3,J16:J18)&amp;"건"</f>
        <v>0건</v>
      </c>
      <c r="K15" s="418">
        <f t="shared" ref="K15:Q15" si="45">SUBTOTAL(9,K16:K18)</f>
        <v>0</v>
      </c>
      <c r="L15" s="418">
        <f t="shared" si="45"/>
        <v>0</v>
      </c>
      <c r="M15" s="418">
        <f t="shared" si="45"/>
        <v>0</v>
      </c>
      <c r="N15" s="418">
        <f t="shared" si="45"/>
        <v>0</v>
      </c>
      <c r="O15" s="418">
        <f t="shared" si="45"/>
        <v>0</v>
      </c>
      <c r="P15" s="418">
        <f t="shared" si="45"/>
        <v>0</v>
      </c>
      <c r="Q15" s="418">
        <f t="shared" si="45"/>
        <v>0</v>
      </c>
      <c r="R15" s="77"/>
      <c r="S15" s="77"/>
      <c r="T15" s="77"/>
      <c r="U15" s="77"/>
      <c r="V15" s="77"/>
      <c r="W15" s="79"/>
      <c r="X15" s="79"/>
      <c r="Y15" s="42"/>
      <c r="Z15" s="418">
        <f>SUBTOTAL(9,Z16:Z18)</f>
        <v>0</v>
      </c>
      <c r="AA15" s="418">
        <f>SUBTOTAL(9,AA16:AA18)</f>
        <v>0</v>
      </c>
      <c r="AB15" s="511" t="str">
        <f>IF(COUNTIF(AB16:AB18,"@@")&gt;0,"@@","OK")</f>
        <v>OK</v>
      </c>
      <c r="AC15" s="43"/>
      <c r="AD15" s="418">
        <f>SUBTOTAL(9,AD16:AD18)</f>
        <v>0</v>
      </c>
      <c r="AE15" s="418">
        <f>SUBTOTAL(9,AE16:AE18)</f>
        <v>0</v>
      </c>
      <c r="AF15" s="511" t="str">
        <f>IF(COUNTIF(AF16:AF18,"@@")&gt;0,"@@","OK")</f>
        <v>OK</v>
      </c>
      <c r="AG15" s="43"/>
      <c r="AH15" s="141"/>
      <c r="AI15" s="141"/>
      <c r="AJ15" s="43"/>
      <c r="AK15" s="141"/>
      <c r="AL15" s="43"/>
      <c r="AM15" s="418">
        <f>SUBTOTAL(9,AM16:AM18)</f>
        <v>0</v>
      </c>
      <c r="AN15" s="418">
        <f>SUBTOTAL(9,AN16:AN18)</f>
        <v>0</v>
      </c>
      <c r="AO15" s="511" t="str">
        <f>IF(COUNTIF(AO16:AO18,"@@")&gt;0,"@@","OK")</f>
        <v>OK</v>
      </c>
      <c r="AP15" s="43"/>
      <c r="AQ15" s="418">
        <f t="shared" ref="AQ15" si="46">SUBTOTAL(9,AQ16:AQ18)</f>
        <v>0</v>
      </c>
      <c r="AR15" s="418">
        <f t="shared" ref="AR15" si="47">SUBTOTAL(9,AR16:AR18)</f>
        <v>0</v>
      </c>
      <c r="AS15" s="511" t="str">
        <f>IF(COUNTIF(AS16:AS18,"@@")&gt;0,"@@","OK")</f>
        <v>OK</v>
      </c>
    </row>
    <row r="16" spans="1:45" s="19" customFormat="1" ht="80.099999999999994" customHeight="1">
      <c r="A16" s="126" t="str">
        <f>IF(D16="","",COUNTA($C$7:C16)-COUNTBLANK($C$7:C16)+3)</f>
        <v/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27" t="str">
        <f>IF(D16="","",IF(OR(D16="교육지원과",D16="총무과",D16="인사과"),"직접입력",VLOOKUP(D16,구분표!$A$3:$C$258,3,)))</f>
        <v/>
      </c>
      <c r="D16" s="194"/>
      <c r="E16" s="181"/>
      <c r="F16" s="350" t="str">
        <f>IF($E16="","",IF($E16="2추","직접입력","-"))</f>
        <v/>
      </c>
      <c r="G16" s="350" t="str">
        <f>IF($E16="","",IF($E16="2추","직접입력","-"))</f>
        <v/>
      </c>
      <c r="H16" s="182"/>
      <c r="I16" s="203" t="str">
        <f>IF(H16="","",VLOOKUP($H16,구분표!$O$3:$P$168,2,FALSE))</f>
        <v/>
      </c>
      <c r="J16" s="183"/>
      <c r="K16" s="419" t="str">
        <f>IF($E16="","",IF(OR($E16="2추",  $E16="1추", $E16="본예산"), "금액입력", "-"))</f>
        <v/>
      </c>
      <c r="L16" s="419" t="str">
        <f>IF($E16="", "", IF($E16="2추","금액입력", "-"))</f>
        <v/>
      </c>
      <c r="M16" s="421" t="str">
        <f t="shared" ref="M16:M18" si="48">IF($E16="","",SUM(K16:L16))</f>
        <v/>
      </c>
      <c r="N16" s="420"/>
      <c r="O16" s="421">
        <f t="shared" ref="O16:O18" si="49">SUM(M16:N16)</f>
        <v>0</v>
      </c>
      <c r="P16" s="422"/>
      <c r="Q16" s="423">
        <f t="shared" ref="Q16:Q18" si="50">SUM(M16,P16)</f>
        <v>0</v>
      </c>
      <c r="R16" s="133" t="str">
        <f t="shared" ref="R16:R18" si="51">IF(AND((O16=0),(Q16&gt;0)),"O",IF(AND((N16&lt;0),(O16-Q16&lt;0)),"O","X"))</f>
        <v>X</v>
      </c>
      <c r="S16" s="198"/>
      <c r="T16" s="193"/>
      <c r="U16" s="185"/>
      <c r="V16" s="172"/>
      <c r="W16" s="133" t="str">
        <f t="shared" ref="W16:W18" si="52">IF($H16="","",IF(OR($H16="511-01", $H16="511-02", $H16="511-03", $H16="311-02", $H16="311-04", $H16="321-01"),"국도비","도비"))</f>
        <v/>
      </c>
      <c r="X16" s="185"/>
      <c r="Y16" s="44"/>
      <c r="Z16" s="468" t="str">
        <f t="shared" ref="Z16:Z18" si="53">IF($W16="", "", IF($W16="국도비",$N16, 0))</f>
        <v/>
      </c>
      <c r="AA16" s="468" t="str">
        <f t="shared" ref="AA16:AA18" si="54">IF($W16="", "", IF($W16="도비",$N16, 0))</f>
        <v/>
      </c>
      <c r="AB16" s="336" t="str">
        <f t="shared" ref="AB16:AB18" si="55">IF($W16="", "", IF($N16=SUM($Z16:$AA16),"OK","@@"))</f>
        <v/>
      </c>
      <c r="AC16" s="45"/>
      <c r="AD16" s="468" t="str">
        <f t="shared" ref="AD16:AD18" si="56">IF($W16="", "", IF($W16="국도비",$P16, 0))</f>
        <v/>
      </c>
      <c r="AE16" s="468" t="str">
        <f t="shared" ref="AE16:AE18" si="57">IF($W16="", "", IF($W16="도비",$P16, 0))</f>
        <v/>
      </c>
      <c r="AF16" s="336" t="str">
        <f t="shared" ref="AF16:AF18" si="58">IF($W16="", "", IF($P16=SUM($AD16:$AE16),"OK","@@"))</f>
        <v/>
      </c>
      <c r="AG16" s="45"/>
      <c r="AH16" s="336" t="str">
        <f>IF(AK16="","",IF($W16="도비","-",CONCATENATE(AK16,"-",COUNTIF(AK$7:$AK16,AK16))))</f>
        <v/>
      </c>
      <c r="AI16" s="336" t="str">
        <f t="shared" ref="AI16:AI18" si="59">IF($H16="","",IF($H16="511-01","국비",IF($H16="511-02","균특",IF($H16="511-03","기금",IF($H16="311-02","특교",IF($H16="311-04","소교",IF($H16="321-01","소멸","도비")))))))</f>
        <v/>
      </c>
      <c r="AJ16" s="45"/>
      <c r="AK16" s="336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32" t="str">
        <f>IF($AH16="","",IF($AH16="-",0, SUMIFS('5. 기출'!$AB$7:$AB$2012,'5. 기출'!$AJ$7:$AJ$2012,$AH16)))</f>
        <v/>
      </c>
      <c r="AN16" s="339" t="str">
        <f>IF($AH16="","",IF($AH16="-", 0, COUNTIF('5. 기출'!$AJ$7:$AJ$2012,$AH16)))</f>
        <v/>
      </c>
      <c r="AO16" s="336" t="str">
        <f t="shared" ref="AO16:AO18" si="60">IF($AH16="", "", IF($Z16=$AM16,"OK","@@"))</f>
        <v/>
      </c>
      <c r="AP16" s="46"/>
      <c r="AQ16" s="432" t="str">
        <f>IF($AH16="","",IF($AH16="-",0, SUMIFS('5. 기출'!$AF$7:$AF$2012,'5. 기출'!$AJ$7:$AJ$2012,$AH16)))</f>
        <v/>
      </c>
      <c r="AR16" s="339" t="str">
        <f>IF($AH16="","",IF($AH16="-", 0, COUNTIF('5. 기출'!$AJ$7:$AJ$2012,$AH16)))</f>
        <v/>
      </c>
      <c r="AS16" s="336" t="str">
        <f t="shared" ref="AS16:AS18" si="61">IF($AH16="", "", IF($AD16=$AQ16,"OK","@@"))</f>
        <v/>
      </c>
    </row>
    <row r="17" spans="1:45" s="19" customFormat="1" ht="80.099999999999994" customHeight="1">
      <c r="A17" s="126" t="str">
        <f>IF(D17="","",COUNTA($C$7:C17)-COUNTBLANK($C$7:C17)+3)</f>
        <v/>
      </c>
      <c r="B17" s="127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27" t="str">
        <f>IF(D17="","",IF(OR(D17="교육지원과",D17="총무과",D17="인사과"),"직접입력",VLOOKUP(D17,구분표!$A$3:$C$258,3,)))</f>
        <v/>
      </c>
      <c r="D17" s="194"/>
      <c r="E17" s="181"/>
      <c r="F17" s="350" t="str">
        <f t="shared" ref="F17:G18" si="62">IF($E17="","",IF($E17="2추","직접입력","-"))</f>
        <v/>
      </c>
      <c r="G17" s="350" t="str">
        <f t="shared" si="62"/>
        <v/>
      </c>
      <c r="H17" s="182"/>
      <c r="I17" s="203" t="str">
        <f>IF(H17="","",VLOOKUP($H17,구분표!$O$3:$P$168,2,FALSE))</f>
        <v/>
      </c>
      <c r="J17" s="183"/>
      <c r="K17" s="419" t="str">
        <f t="shared" ref="K17:K18" si="63">IF($E17="","",IF(OR($E17="2추",  $E17="1추", $E17="본예산"), "금액입력", "-"))</f>
        <v/>
      </c>
      <c r="L17" s="419" t="str">
        <f t="shared" ref="L17:L18" si="64">IF($E17="", "", IF($E17="2추","금액입력", "-"))</f>
        <v/>
      </c>
      <c r="M17" s="421" t="str">
        <f t="shared" si="48"/>
        <v/>
      </c>
      <c r="N17" s="420"/>
      <c r="O17" s="421">
        <f t="shared" si="49"/>
        <v>0</v>
      </c>
      <c r="P17" s="422"/>
      <c r="Q17" s="423">
        <f t="shared" si="50"/>
        <v>0</v>
      </c>
      <c r="R17" s="133" t="str">
        <f t="shared" si="51"/>
        <v>X</v>
      </c>
      <c r="S17" s="198"/>
      <c r="T17" s="193"/>
      <c r="U17" s="185"/>
      <c r="V17" s="172"/>
      <c r="W17" s="133" t="str">
        <f t="shared" si="52"/>
        <v/>
      </c>
      <c r="X17" s="185"/>
      <c r="Y17" s="44"/>
      <c r="Z17" s="468" t="str">
        <f t="shared" si="53"/>
        <v/>
      </c>
      <c r="AA17" s="468" t="str">
        <f t="shared" si="54"/>
        <v/>
      </c>
      <c r="AB17" s="336" t="str">
        <f t="shared" si="55"/>
        <v/>
      </c>
      <c r="AC17" s="45"/>
      <c r="AD17" s="468" t="str">
        <f t="shared" si="56"/>
        <v/>
      </c>
      <c r="AE17" s="468" t="str">
        <f t="shared" si="57"/>
        <v/>
      </c>
      <c r="AF17" s="336" t="str">
        <f t="shared" si="58"/>
        <v/>
      </c>
      <c r="AG17" s="45"/>
      <c r="AH17" s="336" t="str">
        <f>IF(AK17="","",IF($W17="도비","-",CONCATENATE(AK17,"-",COUNTIF(AK$7:$AK17,AK17))))</f>
        <v/>
      </c>
      <c r="AI17" s="336" t="str">
        <f t="shared" si="59"/>
        <v/>
      </c>
      <c r="AJ17" s="45"/>
      <c r="AK17" s="336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32" t="str">
        <f>IF($AH17="","",IF($AH17="-",0, SUMIFS('5. 기출'!$AB$7:$AB$2012,'5. 기출'!$AJ$7:$AJ$2012,$AH17)))</f>
        <v/>
      </c>
      <c r="AN17" s="339" t="str">
        <f>IF($AH17="","",IF($AH17="-", 0, COUNTIF('5. 기출'!$AJ$7:$AJ$2012,$AH17)))</f>
        <v/>
      </c>
      <c r="AO17" s="336" t="str">
        <f t="shared" si="60"/>
        <v/>
      </c>
      <c r="AP17" s="46"/>
      <c r="AQ17" s="432" t="str">
        <f>IF($AH17="","",IF($AH17="-",0, SUMIFS('5. 기출'!$AF$7:$AF$2012,'5. 기출'!$AJ$7:$AJ$2012,$AH17)))</f>
        <v/>
      </c>
      <c r="AR17" s="339" t="str">
        <f>IF($AH17="","",IF($AH17="-", 0, COUNTIF('5. 기출'!$AJ$7:$AJ$2012,$AH17)))</f>
        <v/>
      </c>
      <c r="AS17" s="336" t="str">
        <f t="shared" si="61"/>
        <v/>
      </c>
    </row>
    <row r="18" spans="1:45" s="19" customFormat="1" ht="80.099999999999994" customHeight="1">
      <c r="A18" s="126" t="str">
        <f>IF(D18="","",COUNTA($C$7:C18)-COUNTBLANK($C$7:C18)+3)</f>
        <v/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27" t="str">
        <f>IF(D18="","",IF(OR(D18="교육지원과",D18="총무과",D18="인사과"),"직접입력",VLOOKUP(D18,구분표!$A$3:$C$258,3,)))</f>
        <v/>
      </c>
      <c r="D18" s="194"/>
      <c r="E18" s="181"/>
      <c r="F18" s="350" t="str">
        <f t="shared" si="62"/>
        <v/>
      </c>
      <c r="G18" s="350" t="str">
        <f t="shared" si="62"/>
        <v/>
      </c>
      <c r="H18" s="182"/>
      <c r="I18" s="203" t="str">
        <f>IF(H18="","",VLOOKUP($H18,구분표!$O$3:$P$168,2,FALSE))</f>
        <v/>
      </c>
      <c r="J18" s="183"/>
      <c r="K18" s="419" t="str">
        <f t="shared" si="63"/>
        <v/>
      </c>
      <c r="L18" s="419" t="str">
        <f t="shared" si="64"/>
        <v/>
      </c>
      <c r="M18" s="421" t="str">
        <f t="shared" si="48"/>
        <v/>
      </c>
      <c r="N18" s="420"/>
      <c r="O18" s="421">
        <f t="shared" si="49"/>
        <v>0</v>
      </c>
      <c r="P18" s="422"/>
      <c r="Q18" s="423">
        <f t="shared" si="50"/>
        <v>0</v>
      </c>
      <c r="R18" s="133" t="str">
        <f t="shared" si="51"/>
        <v>X</v>
      </c>
      <c r="S18" s="198"/>
      <c r="T18" s="193"/>
      <c r="U18" s="185"/>
      <c r="V18" s="172"/>
      <c r="W18" s="133" t="str">
        <f t="shared" si="52"/>
        <v/>
      </c>
      <c r="X18" s="185"/>
      <c r="Y18" s="44"/>
      <c r="Z18" s="468" t="str">
        <f t="shared" si="53"/>
        <v/>
      </c>
      <c r="AA18" s="468" t="str">
        <f t="shared" si="54"/>
        <v/>
      </c>
      <c r="AB18" s="336" t="str">
        <f t="shared" si="55"/>
        <v/>
      </c>
      <c r="AC18" s="45"/>
      <c r="AD18" s="468" t="str">
        <f t="shared" si="56"/>
        <v/>
      </c>
      <c r="AE18" s="468" t="str">
        <f t="shared" si="57"/>
        <v/>
      </c>
      <c r="AF18" s="336" t="str">
        <f t="shared" si="58"/>
        <v/>
      </c>
      <c r="AG18" s="45"/>
      <c r="AH18" s="336" t="str">
        <f>IF(AK18="","",IF($W18="도비","-",CONCATENATE(AK18,"-",COUNTIF(AK$7:$AK18,AK18))))</f>
        <v/>
      </c>
      <c r="AI18" s="336" t="str">
        <f t="shared" si="59"/>
        <v/>
      </c>
      <c r="AJ18" s="45"/>
      <c r="AK18" s="336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32" t="str">
        <f>IF($AH18="","",IF($AH18="-",0, SUMIFS('5. 기출'!$AB$7:$AB$2012,'5. 기출'!$AJ$7:$AJ$2012,$AH18)))</f>
        <v/>
      </c>
      <c r="AN18" s="339" t="str">
        <f>IF($AH18="","",IF($AH18="-", 0, COUNTIF('5. 기출'!$AJ$7:$AJ$2012,$AH18)))</f>
        <v/>
      </c>
      <c r="AO18" s="336" t="str">
        <f t="shared" si="60"/>
        <v/>
      </c>
      <c r="AP18" s="46"/>
      <c r="AQ18" s="432" t="str">
        <f>IF($AH18="","",IF($AH18="-",0, SUMIFS('5. 기출'!$AF$7:$AF$2012,'5. 기출'!$AJ$7:$AJ$2012,$AH18)))</f>
        <v/>
      </c>
      <c r="AR18" s="339" t="str">
        <f>IF($AH18="","",IF($AH18="-", 0, COUNTIF('5. 기출'!$AJ$7:$AJ$2012,$AH18)))</f>
        <v/>
      </c>
      <c r="AS18" s="336" t="str">
        <f t="shared" si="61"/>
        <v/>
      </c>
    </row>
    <row r="19" spans="1:45" ht="60" customHeight="1">
      <c r="A19" s="141"/>
      <c r="B19" s="886" t="s">
        <v>777</v>
      </c>
      <c r="C19" s="886"/>
      <c r="D19" s="886"/>
      <c r="E19" s="886"/>
      <c r="F19" s="886"/>
      <c r="G19" s="886"/>
      <c r="H19" s="78"/>
      <c r="I19" s="78"/>
      <c r="J19" s="313" t="str">
        <f>SUBTOTAL(3,J20:J22)&amp;"건"</f>
        <v>0건</v>
      </c>
      <c r="K19" s="418">
        <f t="shared" ref="K19:Q19" si="65">SUBTOTAL(9,K20:K22)</f>
        <v>0</v>
      </c>
      <c r="L19" s="418">
        <f t="shared" si="65"/>
        <v>0</v>
      </c>
      <c r="M19" s="418">
        <f t="shared" si="65"/>
        <v>0</v>
      </c>
      <c r="N19" s="418">
        <f t="shared" si="65"/>
        <v>0</v>
      </c>
      <c r="O19" s="418">
        <f t="shared" si="65"/>
        <v>0</v>
      </c>
      <c r="P19" s="418">
        <f t="shared" si="65"/>
        <v>0</v>
      </c>
      <c r="Q19" s="418">
        <f t="shared" si="65"/>
        <v>0</v>
      </c>
      <c r="R19" s="77"/>
      <c r="S19" s="77"/>
      <c r="T19" s="77"/>
      <c r="U19" s="77"/>
      <c r="V19" s="77"/>
      <c r="W19" s="79"/>
      <c r="X19" s="79"/>
      <c r="Y19" s="42"/>
      <c r="Z19" s="418">
        <f>SUBTOTAL(9,Z20:Z22)</f>
        <v>0</v>
      </c>
      <c r="AA19" s="418">
        <f>SUBTOTAL(9,AA20:AA22)</f>
        <v>0</v>
      </c>
      <c r="AB19" s="511" t="str">
        <f>IF(COUNTIF(AB20:AB22,"@@")&gt;0,"@@","OK")</f>
        <v>OK</v>
      </c>
      <c r="AC19" s="43"/>
      <c r="AD19" s="418">
        <f>SUBTOTAL(9,AD20:AD22)</f>
        <v>0</v>
      </c>
      <c r="AE19" s="418">
        <f>SUBTOTAL(9,AE20:AE22)</f>
        <v>0</v>
      </c>
      <c r="AF19" s="511" t="str">
        <f>IF(COUNTIF(AF20:AF22,"@@")&gt;0,"@@","OK")</f>
        <v>OK</v>
      </c>
      <c r="AG19" s="43"/>
      <c r="AH19" s="141"/>
      <c r="AI19" s="141"/>
      <c r="AJ19" s="43"/>
      <c r="AK19" s="141"/>
      <c r="AL19" s="43"/>
      <c r="AM19" s="418">
        <f>SUBTOTAL(9,AM20:AM22)</f>
        <v>0</v>
      </c>
      <c r="AN19" s="418">
        <f>SUBTOTAL(9,AN20:AN22)</f>
        <v>0</v>
      </c>
      <c r="AO19" s="511" t="str">
        <f>IF(COUNTIF(AO20:AO22,"@@")&gt;0,"@@","OK")</f>
        <v>OK</v>
      </c>
      <c r="AP19" s="43"/>
      <c r="AQ19" s="418">
        <f t="shared" ref="AQ19" si="66">SUBTOTAL(9,AQ20:AQ22)</f>
        <v>0</v>
      </c>
      <c r="AR19" s="418">
        <f t="shared" ref="AR19" si="67">SUBTOTAL(9,AR20:AR22)</f>
        <v>0</v>
      </c>
      <c r="AS19" s="511" t="str">
        <f>IF(COUNTIF(AS20:AS22,"@@")&gt;0,"@@","OK")</f>
        <v>OK</v>
      </c>
    </row>
    <row r="20" spans="1:45" s="19" customFormat="1" ht="80.099999999999994" customHeight="1">
      <c r="A20" s="126" t="str">
        <f>IF(D20="","",COUNTA($C$7:C20)-COUNTBLANK($C$7:C20)+4)</f>
        <v/>
      </c>
      <c r="B20" s="127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27" t="str">
        <f>IF(D20="","",IF(OR(D20="교육지원과",D20="총무과",D20="인사과"),"직접입력",VLOOKUP(D20,구분표!$A$3:$C$258,3,)))</f>
        <v/>
      </c>
      <c r="D20" s="194"/>
      <c r="E20" s="181"/>
      <c r="F20" s="350" t="str">
        <f>IF($E20="","",IF($E20="2추","직접입력","-"))</f>
        <v/>
      </c>
      <c r="G20" s="350" t="str">
        <f>IF($E20="","",IF($E20="2추","직접입력","-"))</f>
        <v/>
      </c>
      <c r="H20" s="182"/>
      <c r="I20" s="203" t="str">
        <f>IF(H20="","",VLOOKUP($H20,구분표!$O$3:$P$168,2,FALSE))</f>
        <v/>
      </c>
      <c r="J20" s="183"/>
      <c r="K20" s="419" t="str">
        <f>IF($E20="","",IF(OR($E20="2추",  $E20="1추", $E20="본예산"), "금액입력", "-"))</f>
        <v/>
      </c>
      <c r="L20" s="419" t="str">
        <f>IF($E20="", "", IF($E20="2추","금액입력", "-"))</f>
        <v/>
      </c>
      <c r="M20" s="421" t="str">
        <f t="shared" ref="M20:M22" si="68">IF($E20="","",SUM(K20:L20))</f>
        <v/>
      </c>
      <c r="N20" s="420"/>
      <c r="O20" s="421">
        <f t="shared" ref="O20:O22" si="69">SUM(M20:N20)</f>
        <v>0</v>
      </c>
      <c r="P20" s="422"/>
      <c r="Q20" s="423">
        <f t="shared" ref="Q20:Q22" si="70">SUM(M20,P20)</f>
        <v>0</v>
      </c>
      <c r="R20" s="133" t="str">
        <f t="shared" ref="R20:R22" si="71">IF(AND((O20=0),(Q20&gt;0)),"O",IF(AND((N20&lt;0),(O20-Q20&lt;0)),"O","X"))</f>
        <v>X</v>
      </c>
      <c r="S20" s="198"/>
      <c r="T20" s="193"/>
      <c r="U20" s="185"/>
      <c r="V20" s="172"/>
      <c r="W20" s="133" t="str">
        <f t="shared" ref="W20:W22" si="72">IF($H20="","",IF(OR($H20="511-01", $H20="511-02", $H20="511-03", $H20="311-02", $H20="311-04", $H20="321-01"),"국도비","도비"))</f>
        <v/>
      </c>
      <c r="X20" s="185"/>
      <c r="Y20" s="44"/>
      <c r="Z20" s="468" t="str">
        <f t="shared" ref="Z20:Z22" si="73">IF($W20="", "", IF($W20="국도비",$N20, 0))</f>
        <v/>
      </c>
      <c r="AA20" s="468" t="str">
        <f t="shared" ref="AA20:AA22" si="74">IF($W20="", "", IF($W20="도비",$N20, 0))</f>
        <v/>
      </c>
      <c r="AB20" s="336" t="str">
        <f t="shared" ref="AB20:AB22" si="75">IF($W20="", "", IF($N20=SUM($Z20:$AA20),"OK","@@"))</f>
        <v/>
      </c>
      <c r="AC20" s="45"/>
      <c r="AD20" s="468" t="str">
        <f t="shared" ref="AD20:AD22" si="76">IF($W20="", "", IF($W20="국도비",$P20, 0))</f>
        <v/>
      </c>
      <c r="AE20" s="468" t="str">
        <f t="shared" ref="AE20:AE22" si="77">IF($W20="", "", IF($W20="도비",$P20, 0))</f>
        <v/>
      </c>
      <c r="AF20" s="336" t="str">
        <f t="shared" ref="AF20:AF22" si="78">IF($W20="", "", IF($P20=SUM($AD20:$AE20),"OK","@@"))</f>
        <v/>
      </c>
      <c r="AG20" s="45"/>
      <c r="AH20" s="336" t="str">
        <f>IF(AK20="","",IF($W20="도비","-",CONCATENATE(AK20,"-",COUNTIF(AK$7:$AK20,AK20))))</f>
        <v/>
      </c>
      <c r="AI20" s="336" t="str">
        <f t="shared" ref="AI20:AI22" si="79">IF($H20="","",IF($H20="511-01","국비",IF($H20="511-02","균특",IF($H20="511-03","기금",IF($H20="311-02","특교",IF($H20="311-04","소교",IF($H20="321-01","소멸","도비")))))))</f>
        <v/>
      </c>
      <c r="AJ20" s="45"/>
      <c r="AK20" s="336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32" t="str">
        <f>IF($AH20="","",IF($AH20="-",0, SUMIFS('5. 기출'!$AB$7:$AB$2012,'5. 기출'!$AJ$7:$AJ$2012,$AH20)))</f>
        <v/>
      </c>
      <c r="AN20" s="339" t="str">
        <f>IF($AH20="","",IF($AH20="-", 0, COUNTIF('5. 기출'!$AJ$7:$AJ$2012,$AH20)))</f>
        <v/>
      </c>
      <c r="AO20" s="336" t="str">
        <f t="shared" ref="AO20:AO22" si="80">IF($AH20="", "", IF($Z20=$AM20,"OK","@@"))</f>
        <v/>
      </c>
      <c r="AP20" s="46"/>
      <c r="AQ20" s="432" t="str">
        <f>IF($AH20="","",IF($AH20="-",0, SUMIFS('5. 기출'!$AF$7:$AF$2012,'5. 기출'!$AJ$7:$AJ$2012,$AH20)))</f>
        <v/>
      </c>
      <c r="AR20" s="339" t="str">
        <f>IF($AH20="","",IF($AH20="-", 0, COUNTIF('5. 기출'!$AJ$7:$AJ$2012,$AH20)))</f>
        <v/>
      </c>
      <c r="AS20" s="336" t="str">
        <f t="shared" ref="AS20:AS22" si="81">IF($AH20="", "", IF($AD20=$AQ20,"OK","@@"))</f>
        <v/>
      </c>
    </row>
    <row r="21" spans="1:45" s="19" customFormat="1" ht="80.099999999999994" customHeight="1">
      <c r="A21" s="126" t="str">
        <f>IF(D21="","",COUNTA($C$7:C21)-COUNTBLANK($C$7:C21)+4)</f>
        <v/>
      </c>
      <c r="B21" s="127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27" t="str">
        <f>IF(D21="","",IF(OR(D21="교육지원과",D21="총무과",D21="인사과"),"직접입력",VLOOKUP(D21,구분표!$A$3:$C$258,3,)))</f>
        <v/>
      </c>
      <c r="D21" s="194"/>
      <c r="E21" s="181"/>
      <c r="F21" s="350" t="str">
        <f t="shared" ref="F21:G22" si="82">IF($E21="","",IF($E21="2추","직접입력","-"))</f>
        <v/>
      </c>
      <c r="G21" s="350" t="str">
        <f t="shared" si="82"/>
        <v/>
      </c>
      <c r="H21" s="182"/>
      <c r="I21" s="203" t="str">
        <f>IF(H21="","",VLOOKUP($H21,구분표!$O$3:$P$168,2,FALSE))</f>
        <v/>
      </c>
      <c r="J21" s="183"/>
      <c r="K21" s="419" t="str">
        <f t="shared" ref="K21:K22" si="83">IF($E21="","",IF(OR($E21="2추",  $E21="1추", $E21="본예산"), "금액입력", "-"))</f>
        <v/>
      </c>
      <c r="L21" s="419" t="str">
        <f t="shared" ref="L21:L22" si="84">IF($E21="", "", IF($E21="2추","금액입력", "-"))</f>
        <v/>
      </c>
      <c r="M21" s="421" t="str">
        <f t="shared" si="68"/>
        <v/>
      </c>
      <c r="N21" s="420"/>
      <c r="O21" s="421">
        <f t="shared" si="69"/>
        <v>0</v>
      </c>
      <c r="P21" s="422"/>
      <c r="Q21" s="423">
        <f t="shared" si="70"/>
        <v>0</v>
      </c>
      <c r="R21" s="133" t="str">
        <f t="shared" si="71"/>
        <v>X</v>
      </c>
      <c r="S21" s="198"/>
      <c r="T21" s="193"/>
      <c r="U21" s="185"/>
      <c r="V21" s="172"/>
      <c r="W21" s="133" t="str">
        <f t="shared" si="72"/>
        <v/>
      </c>
      <c r="X21" s="185"/>
      <c r="Y21" s="44"/>
      <c r="Z21" s="468" t="str">
        <f t="shared" si="73"/>
        <v/>
      </c>
      <c r="AA21" s="468" t="str">
        <f t="shared" si="74"/>
        <v/>
      </c>
      <c r="AB21" s="336" t="str">
        <f t="shared" si="75"/>
        <v/>
      </c>
      <c r="AC21" s="45"/>
      <c r="AD21" s="468" t="str">
        <f t="shared" si="76"/>
        <v/>
      </c>
      <c r="AE21" s="468" t="str">
        <f t="shared" si="77"/>
        <v/>
      </c>
      <c r="AF21" s="336" t="str">
        <f t="shared" si="78"/>
        <v/>
      </c>
      <c r="AG21" s="45"/>
      <c r="AH21" s="336" t="str">
        <f>IF(AK21="","",IF($W21="도비","-",CONCATENATE(AK21,"-",COUNTIF(AK$7:$AK21,AK21))))</f>
        <v/>
      </c>
      <c r="AI21" s="336" t="str">
        <f t="shared" si="79"/>
        <v/>
      </c>
      <c r="AJ21" s="45"/>
      <c r="AK21" s="336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32" t="str">
        <f>IF($AH21="","",IF($AH21="-",0, SUMIFS('5. 기출'!$AB$7:$AB$2012,'5. 기출'!$AJ$7:$AJ$2012,$AH21)))</f>
        <v/>
      </c>
      <c r="AN21" s="339" t="str">
        <f>IF($AH21="","",IF($AH21="-", 0, COUNTIF('5. 기출'!$AJ$7:$AJ$2012,$AH21)))</f>
        <v/>
      </c>
      <c r="AO21" s="336" t="str">
        <f t="shared" si="80"/>
        <v/>
      </c>
      <c r="AP21" s="46"/>
      <c r="AQ21" s="432" t="str">
        <f>IF($AH21="","",IF($AH21="-",0, SUMIFS('5. 기출'!$AF$7:$AF$2012,'5. 기출'!$AJ$7:$AJ$2012,$AH21)))</f>
        <v/>
      </c>
      <c r="AR21" s="339" t="str">
        <f>IF($AH21="","",IF($AH21="-", 0, COUNTIF('5. 기출'!$AJ$7:$AJ$2012,$AH21)))</f>
        <v/>
      </c>
      <c r="AS21" s="336" t="str">
        <f t="shared" si="81"/>
        <v/>
      </c>
    </row>
    <row r="22" spans="1:45" s="19" customFormat="1" ht="80.099999999999994" customHeight="1">
      <c r="A22" s="126" t="str">
        <f>IF(D22="","",COUNTA($C$7:C22)-COUNTBLANK($C$7:C22)+4)</f>
        <v/>
      </c>
      <c r="B22" s="127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27" t="str">
        <f>IF(D22="","",IF(OR(D22="교육지원과",D22="총무과",D22="인사과"),"직접입력",VLOOKUP(D22,구분표!$A$3:$C$258,3,)))</f>
        <v/>
      </c>
      <c r="D22" s="194"/>
      <c r="E22" s="181"/>
      <c r="F22" s="350" t="str">
        <f t="shared" si="82"/>
        <v/>
      </c>
      <c r="G22" s="350" t="str">
        <f t="shared" si="82"/>
        <v/>
      </c>
      <c r="H22" s="182"/>
      <c r="I22" s="203" t="str">
        <f>IF(H22="","",VLOOKUP($H22,구분표!$O$3:$P$168,2,FALSE))</f>
        <v/>
      </c>
      <c r="J22" s="183"/>
      <c r="K22" s="419" t="str">
        <f t="shared" si="83"/>
        <v/>
      </c>
      <c r="L22" s="419" t="str">
        <f t="shared" si="84"/>
        <v/>
      </c>
      <c r="M22" s="421" t="str">
        <f t="shared" si="68"/>
        <v/>
      </c>
      <c r="N22" s="420"/>
      <c r="O22" s="421">
        <f t="shared" si="69"/>
        <v>0</v>
      </c>
      <c r="P22" s="422"/>
      <c r="Q22" s="423">
        <f t="shared" si="70"/>
        <v>0</v>
      </c>
      <c r="R22" s="133" t="str">
        <f t="shared" si="71"/>
        <v>X</v>
      </c>
      <c r="S22" s="198"/>
      <c r="T22" s="193"/>
      <c r="U22" s="185"/>
      <c r="V22" s="172"/>
      <c r="W22" s="133" t="str">
        <f t="shared" si="72"/>
        <v/>
      </c>
      <c r="X22" s="185"/>
      <c r="Y22" s="44"/>
      <c r="Z22" s="468" t="str">
        <f t="shared" si="73"/>
        <v/>
      </c>
      <c r="AA22" s="468" t="str">
        <f t="shared" si="74"/>
        <v/>
      </c>
      <c r="AB22" s="336" t="str">
        <f t="shared" si="75"/>
        <v/>
      </c>
      <c r="AC22" s="45"/>
      <c r="AD22" s="468" t="str">
        <f t="shared" si="76"/>
        <v/>
      </c>
      <c r="AE22" s="468" t="str">
        <f t="shared" si="77"/>
        <v/>
      </c>
      <c r="AF22" s="336" t="str">
        <f t="shared" si="78"/>
        <v/>
      </c>
      <c r="AG22" s="45"/>
      <c r="AH22" s="336" t="str">
        <f>IF(AK22="","",IF($W22="도비","-",CONCATENATE(AK22,"-",COUNTIF(AK$7:$AK22,AK22))))</f>
        <v/>
      </c>
      <c r="AI22" s="336" t="str">
        <f t="shared" si="79"/>
        <v/>
      </c>
      <c r="AJ22" s="45"/>
      <c r="AK22" s="336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32" t="str">
        <f>IF($AH22="","",IF($AH22="-",0, SUMIFS('5. 기출'!$AB$7:$AB$2012,'5. 기출'!$AJ$7:$AJ$2012,$AH22)))</f>
        <v/>
      </c>
      <c r="AN22" s="339" t="str">
        <f>IF($AH22="","",IF($AH22="-", 0, COUNTIF('5. 기출'!$AJ$7:$AJ$2012,$AH22)))</f>
        <v/>
      </c>
      <c r="AO22" s="336" t="str">
        <f t="shared" si="80"/>
        <v/>
      </c>
      <c r="AP22" s="46"/>
      <c r="AQ22" s="432" t="str">
        <f>IF($AH22="","",IF($AH22="-",0, SUMIFS('5. 기출'!$AF$7:$AF$2012,'5. 기출'!$AJ$7:$AJ$2012,$AH22)))</f>
        <v/>
      </c>
      <c r="AR22" s="339" t="str">
        <f>IF($AH22="","",IF($AH22="-", 0, COUNTIF('5. 기출'!$AJ$7:$AJ$2012,$AH22)))</f>
        <v/>
      </c>
      <c r="AS22" s="336" t="str">
        <f t="shared" si="81"/>
        <v/>
      </c>
    </row>
    <row r="23" spans="1:45" ht="60" customHeight="1">
      <c r="A23" s="141"/>
      <c r="B23" s="886" t="s">
        <v>778</v>
      </c>
      <c r="C23" s="886"/>
      <c r="D23" s="886"/>
      <c r="E23" s="886"/>
      <c r="F23" s="886"/>
      <c r="G23" s="886"/>
      <c r="H23" s="78"/>
      <c r="I23" s="78"/>
      <c r="J23" s="313" t="str">
        <f>SUBTOTAL(3,J24:J26)&amp;"건"</f>
        <v>0건</v>
      </c>
      <c r="K23" s="418">
        <f t="shared" ref="K23:Q23" si="85">SUBTOTAL(9,K24:K26)</f>
        <v>0</v>
      </c>
      <c r="L23" s="418">
        <f t="shared" si="85"/>
        <v>0</v>
      </c>
      <c r="M23" s="418">
        <f t="shared" si="85"/>
        <v>0</v>
      </c>
      <c r="N23" s="418">
        <f t="shared" si="85"/>
        <v>0</v>
      </c>
      <c r="O23" s="418">
        <f t="shared" si="85"/>
        <v>0</v>
      </c>
      <c r="P23" s="418">
        <f t="shared" si="85"/>
        <v>0</v>
      </c>
      <c r="Q23" s="418">
        <f t="shared" si="85"/>
        <v>0</v>
      </c>
      <c r="R23" s="77"/>
      <c r="S23" s="77"/>
      <c r="T23" s="77"/>
      <c r="U23" s="77"/>
      <c r="V23" s="77"/>
      <c r="W23" s="79"/>
      <c r="X23" s="79"/>
      <c r="Y23" s="42"/>
      <c r="Z23" s="418">
        <f>SUBTOTAL(9,Z24:Z26)</f>
        <v>0</v>
      </c>
      <c r="AA23" s="418">
        <f>SUBTOTAL(9,AA24:AA26)</f>
        <v>0</v>
      </c>
      <c r="AB23" s="511" t="str">
        <f>IF(COUNTIF(AB24:AB26,"@@")&gt;0,"@@","OK")</f>
        <v>OK</v>
      </c>
      <c r="AC23" s="43"/>
      <c r="AD23" s="418">
        <f>SUBTOTAL(9,AD24:AD26)</f>
        <v>0</v>
      </c>
      <c r="AE23" s="418">
        <f>SUBTOTAL(9,AE24:AE26)</f>
        <v>0</v>
      </c>
      <c r="AF23" s="511" t="str">
        <f>IF(COUNTIF(AF24:AF26,"@@")&gt;0,"@@","OK")</f>
        <v>OK</v>
      </c>
      <c r="AG23" s="43"/>
      <c r="AH23" s="141"/>
      <c r="AI23" s="141"/>
      <c r="AJ23" s="43"/>
      <c r="AK23" s="141"/>
      <c r="AL23" s="43"/>
      <c r="AM23" s="418">
        <f>SUBTOTAL(9,AM24:AM26)</f>
        <v>0</v>
      </c>
      <c r="AN23" s="418">
        <f>SUBTOTAL(9,AN24:AN26)</f>
        <v>0</v>
      </c>
      <c r="AO23" s="511" t="str">
        <f>IF(COUNTIF(AO24:AO26,"@@")&gt;0,"@@","OK")</f>
        <v>OK</v>
      </c>
      <c r="AP23" s="43"/>
      <c r="AQ23" s="418">
        <f t="shared" ref="AQ23" si="86">SUBTOTAL(9,AQ24:AQ26)</f>
        <v>0</v>
      </c>
      <c r="AR23" s="418">
        <f t="shared" ref="AR23" si="87">SUBTOTAL(9,AR24:AR26)</f>
        <v>0</v>
      </c>
      <c r="AS23" s="511" t="str">
        <f>IF(COUNTIF(AS24:AS26,"@@")&gt;0,"@@","OK")</f>
        <v>OK</v>
      </c>
    </row>
    <row r="24" spans="1:45" s="19" customFormat="1" ht="80.099999999999994" customHeight="1">
      <c r="A24" s="126" t="str">
        <f>IF(D24="","",COUNTA($C$7:C24)-COUNTBLANK($C$7:C24)+5)</f>
        <v/>
      </c>
      <c r="B24" s="127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27" t="str">
        <f>IF(D24="","",IF(OR(D24="교육지원과",D24="총무과",D24="인사과"),"직접입력",VLOOKUP(D24,구분표!$A$3:$C$258,3,)))</f>
        <v/>
      </c>
      <c r="D24" s="194"/>
      <c r="E24" s="181"/>
      <c r="F24" s="350" t="str">
        <f>IF($E24="","",IF($E24="2추","직접입력","-"))</f>
        <v/>
      </c>
      <c r="G24" s="350" t="str">
        <f>IF($E24="","",IF($E24="2추","직접입력","-"))</f>
        <v/>
      </c>
      <c r="H24" s="182"/>
      <c r="I24" s="203" t="str">
        <f>IF(H24="","",VLOOKUP($H24,구분표!$O$3:$P$168,2,FALSE))</f>
        <v/>
      </c>
      <c r="J24" s="183"/>
      <c r="K24" s="419" t="str">
        <f>IF($E24="","",IF(OR($E24="2추",  $E24="1추", $E24="본예산"), "금액입력", "-"))</f>
        <v/>
      </c>
      <c r="L24" s="419" t="str">
        <f>IF($E24="", "", IF($E24="2추","금액입력", "-"))</f>
        <v/>
      </c>
      <c r="M24" s="421" t="str">
        <f t="shared" ref="M24:M26" si="88">IF($E24="","",SUM(K24:L24))</f>
        <v/>
      </c>
      <c r="N24" s="420"/>
      <c r="O24" s="421">
        <f t="shared" ref="O24:O26" si="89">SUM(M24:N24)</f>
        <v>0</v>
      </c>
      <c r="P24" s="422"/>
      <c r="Q24" s="423">
        <f t="shared" ref="Q24:Q26" si="90">SUM(M24,P24)</f>
        <v>0</v>
      </c>
      <c r="R24" s="133" t="str">
        <f t="shared" ref="R24:R26" si="91">IF(AND((O24=0),(Q24&gt;0)),"O",IF(AND((N24&lt;0),(O24-Q24&lt;0)),"O","X"))</f>
        <v>X</v>
      </c>
      <c r="S24" s="198"/>
      <c r="T24" s="193"/>
      <c r="U24" s="185"/>
      <c r="V24" s="172"/>
      <c r="W24" s="133" t="str">
        <f t="shared" ref="W24:W26" si="92">IF($H24="","",IF(OR($H24="511-01", $H24="511-02", $H24="511-03", $H24="311-02", $H24="311-04", $H24="321-01"),"국도비","도비"))</f>
        <v/>
      </c>
      <c r="X24" s="185"/>
      <c r="Y24" s="44"/>
      <c r="Z24" s="468" t="str">
        <f t="shared" ref="Z24:Z26" si="93">IF($W24="", "", IF($W24="국도비",$N24, 0))</f>
        <v/>
      </c>
      <c r="AA24" s="468" t="str">
        <f t="shared" ref="AA24:AA26" si="94">IF($W24="", "", IF($W24="도비",$N24, 0))</f>
        <v/>
      </c>
      <c r="AB24" s="336" t="str">
        <f t="shared" ref="AB24:AB26" si="95">IF($W24="", "", IF($N24=SUM($Z24:$AA24),"OK","@@"))</f>
        <v/>
      </c>
      <c r="AC24" s="45"/>
      <c r="AD24" s="468" t="str">
        <f t="shared" ref="AD24:AD26" si="96">IF($W24="", "", IF($W24="국도비",$P24, 0))</f>
        <v/>
      </c>
      <c r="AE24" s="468" t="str">
        <f t="shared" ref="AE24:AE26" si="97">IF($W24="", "", IF($W24="도비",$P24, 0))</f>
        <v/>
      </c>
      <c r="AF24" s="336" t="str">
        <f t="shared" ref="AF24:AF26" si="98">IF($W24="", "", IF($P24=SUM($AD24:$AE24),"OK","@@"))</f>
        <v/>
      </c>
      <c r="AG24" s="45"/>
      <c r="AH24" s="336" t="str">
        <f>IF(AK24="","",IF($W24="도비","-",CONCATENATE(AK24,"-",COUNTIF(AK$7:$AK24,AK24))))</f>
        <v/>
      </c>
      <c r="AI24" s="336" t="str">
        <f t="shared" ref="AI24:AI26" si="99">IF($H24="","",IF($H24="511-01","국비",IF($H24="511-02","균특",IF($H24="511-03","기금",IF($H24="311-02","특교",IF($H24="311-04","소교",IF($H24="321-01","소멸","도비")))))))</f>
        <v/>
      </c>
      <c r="AJ24" s="45"/>
      <c r="AK24" s="336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32" t="str">
        <f>IF($AH24="","",IF($AH24="-",0, SUMIFS('5. 기출'!$AB$7:$AB$2012,'5. 기출'!$AJ$7:$AJ$2012,$AH24)))</f>
        <v/>
      </c>
      <c r="AN24" s="339" t="str">
        <f>IF($AH24="","",IF($AH24="-", 0, COUNTIF('5. 기출'!$AJ$7:$AJ$2012,$AH24)))</f>
        <v/>
      </c>
      <c r="AO24" s="336" t="str">
        <f t="shared" ref="AO24:AO26" si="100">IF($AH24="", "", IF($Z24=$AM24,"OK","@@"))</f>
        <v/>
      </c>
      <c r="AP24" s="46"/>
      <c r="AQ24" s="432" t="str">
        <f>IF($AH24="","",IF($AH24="-",0, SUMIFS('5. 기출'!$AF$7:$AF$2012,'5. 기출'!$AJ$7:$AJ$2012,$AH24)))</f>
        <v/>
      </c>
      <c r="AR24" s="339" t="str">
        <f>IF($AH24="","",IF($AH24="-", 0, COUNTIF('5. 기출'!$AJ$7:$AJ$2012,$AH24)))</f>
        <v/>
      </c>
      <c r="AS24" s="336" t="str">
        <f t="shared" ref="AS24:AS26" si="101">IF($AH24="", "", IF($AD24=$AQ24,"OK","@@"))</f>
        <v/>
      </c>
    </row>
    <row r="25" spans="1:45" s="19" customFormat="1" ht="80.099999999999994" customHeight="1">
      <c r="A25" s="126" t="str">
        <f>IF(D25="","",COUNTA($C$7:C25)-COUNTBLANK($C$7:C25)+5)</f>
        <v/>
      </c>
      <c r="B25" s="127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27" t="str">
        <f>IF(D25="","",IF(OR(D25="교육지원과",D25="총무과",D25="인사과"),"직접입력",VLOOKUP(D25,구분표!$A$3:$C$258,3,)))</f>
        <v/>
      </c>
      <c r="D25" s="194"/>
      <c r="E25" s="181"/>
      <c r="F25" s="350" t="str">
        <f t="shared" ref="F25:G26" si="102">IF($E25="","",IF($E25="2추","직접입력","-"))</f>
        <v/>
      </c>
      <c r="G25" s="350" t="str">
        <f t="shared" si="102"/>
        <v/>
      </c>
      <c r="H25" s="182"/>
      <c r="I25" s="203" t="str">
        <f>IF(H25="","",VLOOKUP($H25,구분표!$O$3:$P$168,2,FALSE))</f>
        <v/>
      </c>
      <c r="J25" s="183"/>
      <c r="K25" s="419" t="str">
        <f t="shared" ref="K25:K26" si="103">IF($E25="","",IF(OR($E25="2추",  $E25="1추", $E25="본예산"), "금액입력", "-"))</f>
        <v/>
      </c>
      <c r="L25" s="419" t="str">
        <f t="shared" ref="L25:L26" si="104">IF($E25="", "", IF($E25="2추","금액입력", "-"))</f>
        <v/>
      </c>
      <c r="M25" s="421" t="str">
        <f t="shared" si="88"/>
        <v/>
      </c>
      <c r="N25" s="420"/>
      <c r="O25" s="421">
        <f t="shared" si="89"/>
        <v>0</v>
      </c>
      <c r="P25" s="422"/>
      <c r="Q25" s="423">
        <f t="shared" si="90"/>
        <v>0</v>
      </c>
      <c r="R25" s="133" t="str">
        <f t="shared" si="91"/>
        <v>X</v>
      </c>
      <c r="S25" s="198"/>
      <c r="T25" s="193"/>
      <c r="U25" s="185"/>
      <c r="V25" s="172"/>
      <c r="W25" s="133" t="str">
        <f t="shared" si="92"/>
        <v/>
      </c>
      <c r="X25" s="185"/>
      <c r="Y25" s="44"/>
      <c r="Z25" s="468" t="str">
        <f t="shared" si="93"/>
        <v/>
      </c>
      <c r="AA25" s="468" t="str">
        <f t="shared" si="94"/>
        <v/>
      </c>
      <c r="AB25" s="336" t="str">
        <f t="shared" si="95"/>
        <v/>
      </c>
      <c r="AC25" s="45"/>
      <c r="AD25" s="468" t="str">
        <f t="shared" si="96"/>
        <v/>
      </c>
      <c r="AE25" s="468" t="str">
        <f t="shared" si="97"/>
        <v/>
      </c>
      <c r="AF25" s="336" t="str">
        <f t="shared" si="98"/>
        <v/>
      </c>
      <c r="AG25" s="45"/>
      <c r="AH25" s="336" t="str">
        <f>IF(AK25="","",IF($W25="도비","-",CONCATENATE(AK25,"-",COUNTIF(AK$7:$AK25,AK25))))</f>
        <v/>
      </c>
      <c r="AI25" s="336" t="str">
        <f t="shared" si="99"/>
        <v/>
      </c>
      <c r="AJ25" s="45"/>
      <c r="AK25" s="336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32" t="str">
        <f>IF($AH25="","",IF($AH25="-",0, SUMIFS('5. 기출'!$AB$7:$AB$2012,'5. 기출'!$AJ$7:$AJ$2012,$AH25)))</f>
        <v/>
      </c>
      <c r="AN25" s="339" t="str">
        <f>IF($AH25="","",IF($AH25="-", 0, COUNTIF('5. 기출'!$AJ$7:$AJ$2012,$AH25)))</f>
        <v/>
      </c>
      <c r="AO25" s="336" t="str">
        <f t="shared" si="100"/>
        <v/>
      </c>
      <c r="AP25" s="46"/>
      <c r="AQ25" s="432" t="str">
        <f>IF($AH25="","",IF($AH25="-",0, SUMIFS('5. 기출'!$AF$7:$AF$2012,'5. 기출'!$AJ$7:$AJ$2012,$AH25)))</f>
        <v/>
      </c>
      <c r="AR25" s="339" t="str">
        <f>IF($AH25="","",IF($AH25="-", 0, COUNTIF('5. 기출'!$AJ$7:$AJ$2012,$AH25)))</f>
        <v/>
      </c>
      <c r="AS25" s="336" t="str">
        <f t="shared" si="101"/>
        <v/>
      </c>
    </row>
    <row r="26" spans="1:45" s="19" customFormat="1" ht="80.099999999999994" customHeight="1">
      <c r="A26" s="126" t="str">
        <f>IF(D26="","",COUNTA($C$7:C26)-COUNTBLANK($C$7:C26)+5)</f>
        <v/>
      </c>
      <c r="B26" s="127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27" t="str">
        <f>IF(D26="","",IF(OR(D26="교육지원과",D26="총무과",D26="인사과"),"직접입력",VLOOKUP(D26,구분표!$A$3:$C$258,3,)))</f>
        <v/>
      </c>
      <c r="D26" s="194"/>
      <c r="E26" s="181"/>
      <c r="F26" s="350" t="str">
        <f t="shared" si="102"/>
        <v/>
      </c>
      <c r="G26" s="350" t="str">
        <f t="shared" si="102"/>
        <v/>
      </c>
      <c r="H26" s="182"/>
      <c r="I26" s="203" t="str">
        <f>IF(H26="","",VLOOKUP($H26,구분표!$O$3:$P$168,2,FALSE))</f>
        <v/>
      </c>
      <c r="J26" s="183"/>
      <c r="K26" s="419" t="str">
        <f t="shared" si="103"/>
        <v/>
      </c>
      <c r="L26" s="419" t="str">
        <f t="shared" si="104"/>
        <v/>
      </c>
      <c r="M26" s="421" t="str">
        <f t="shared" si="88"/>
        <v/>
      </c>
      <c r="N26" s="420"/>
      <c r="O26" s="421">
        <f t="shared" si="89"/>
        <v>0</v>
      </c>
      <c r="P26" s="422"/>
      <c r="Q26" s="423">
        <f t="shared" si="90"/>
        <v>0</v>
      </c>
      <c r="R26" s="133" t="str">
        <f t="shared" si="91"/>
        <v>X</v>
      </c>
      <c r="S26" s="198"/>
      <c r="T26" s="193"/>
      <c r="U26" s="185"/>
      <c r="V26" s="172"/>
      <c r="W26" s="133" t="str">
        <f t="shared" si="92"/>
        <v/>
      </c>
      <c r="X26" s="185"/>
      <c r="Y26" s="44"/>
      <c r="Z26" s="468" t="str">
        <f t="shared" si="93"/>
        <v/>
      </c>
      <c r="AA26" s="468" t="str">
        <f t="shared" si="94"/>
        <v/>
      </c>
      <c r="AB26" s="336" t="str">
        <f t="shared" si="95"/>
        <v/>
      </c>
      <c r="AC26" s="45"/>
      <c r="AD26" s="468" t="str">
        <f t="shared" si="96"/>
        <v/>
      </c>
      <c r="AE26" s="468" t="str">
        <f t="shared" si="97"/>
        <v/>
      </c>
      <c r="AF26" s="336" t="str">
        <f t="shared" si="98"/>
        <v/>
      </c>
      <c r="AG26" s="45"/>
      <c r="AH26" s="336" t="str">
        <f>IF(AK26="","",IF($W26="도비","-",CONCATENATE(AK26,"-",COUNTIF(AK$7:$AK26,AK26))))</f>
        <v/>
      </c>
      <c r="AI26" s="336" t="str">
        <f t="shared" si="99"/>
        <v/>
      </c>
      <c r="AJ26" s="45"/>
      <c r="AK26" s="336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32" t="str">
        <f>IF($AH26="","",IF($AH26="-",0, SUMIFS('5. 기출'!$AB$7:$AB$2012,'5. 기출'!$AJ$7:$AJ$2012,$AH26)))</f>
        <v/>
      </c>
      <c r="AN26" s="339" t="str">
        <f>IF($AH26="","",IF($AH26="-", 0, COUNTIF('5. 기출'!$AJ$7:$AJ$2012,$AH26)))</f>
        <v/>
      </c>
      <c r="AO26" s="336" t="str">
        <f t="shared" si="100"/>
        <v/>
      </c>
      <c r="AP26" s="46"/>
      <c r="AQ26" s="432" t="str">
        <f>IF($AH26="","",IF($AH26="-",0, SUMIFS('5. 기출'!$AF$7:$AF$2012,'5. 기출'!$AJ$7:$AJ$2012,$AH26)))</f>
        <v/>
      </c>
      <c r="AR26" s="339" t="str">
        <f>IF($AH26="","",IF($AH26="-", 0, COUNTIF('5. 기출'!$AJ$7:$AJ$2012,$AH26)))</f>
        <v/>
      </c>
      <c r="AS26" s="336" t="str">
        <f t="shared" si="101"/>
        <v/>
      </c>
    </row>
    <row r="27" spans="1:45" ht="51.75" customHeight="1">
      <c r="A27" s="141"/>
      <c r="B27" s="886" t="s">
        <v>779</v>
      </c>
      <c r="C27" s="886"/>
      <c r="D27" s="886"/>
      <c r="E27" s="886"/>
      <c r="F27" s="886"/>
      <c r="G27" s="886"/>
      <c r="H27" s="78"/>
      <c r="I27" s="78"/>
      <c r="J27" s="313" t="str">
        <f>SUBTOTAL(3,J28:J30)&amp;"건"</f>
        <v>0건</v>
      </c>
      <c r="K27" s="418">
        <f t="shared" ref="K27:Q27" si="105">SUBTOTAL(9,K28:K30)</f>
        <v>0</v>
      </c>
      <c r="L27" s="418">
        <f t="shared" si="105"/>
        <v>0</v>
      </c>
      <c r="M27" s="418">
        <f t="shared" si="105"/>
        <v>0</v>
      </c>
      <c r="N27" s="418">
        <f t="shared" si="105"/>
        <v>0</v>
      </c>
      <c r="O27" s="418">
        <f t="shared" si="105"/>
        <v>0</v>
      </c>
      <c r="P27" s="418">
        <f t="shared" si="105"/>
        <v>0</v>
      </c>
      <c r="Q27" s="418">
        <f t="shared" si="105"/>
        <v>0</v>
      </c>
      <c r="R27" s="77"/>
      <c r="S27" s="77"/>
      <c r="T27" s="77"/>
      <c r="U27" s="77"/>
      <c r="V27" s="77"/>
      <c r="W27" s="79"/>
      <c r="X27" s="79"/>
      <c r="Y27" s="42"/>
      <c r="Z27" s="418">
        <f>SUBTOTAL(9,Z28:Z30)</f>
        <v>0</v>
      </c>
      <c r="AA27" s="418">
        <f>SUBTOTAL(9,AA28:AA30)</f>
        <v>0</v>
      </c>
      <c r="AB27" s="511" t="str">
        <f>IF(COUNTIF(AB28:AB30,"@@")&gt;0,"@@","OK")</f>
        <v>OK</v>
      </c>
      <c r="AC27" s="43"/>
      <c r="AD27" s="418">
        <f>SUBTOTAL(9,AD28:AD30)</f>
        <v>0</v>
      </c>
      <c r="AE27" s="418">
        <f>SUBTOTAL(9,AE28:AE30)</f>
        <v>0</v>
      </c>
      <c r="AF27" s="511" t="str">
        <f>IF(COUNTIF(AF28:AF30,"@@")&gt;0,"@@","OK")</f>
        <v>OK</v>
      </c>
      <c r="AG27" s="43"/>
      <c r="AH27" s="141"/>
      <c r="AI27" s="141"/>
      <c r="AJ27" s="43"/>
      <c r="AK27" s="141"/>
      <c r="AL27" s="43"/>
      <c r="AM27" s="418">
        <f>SUBTOTAL(9,AM28:AM30)</f>
        <v>0</v>
      </c>
      <c r="AN27" s="418">
        <f>SUBTOTAL(9,AN28:AN30)</f>
        <v>0</v>
      </c>
      <c r="AO27" s="511" t="str">
        <f>IF(COUNTIF(AO28:AO30,"@@")&gt;0,"@@","OK")</f>
        <v>OK</v>
      </c>
      <c r="AP27" s="43"/>
      <c r="AQ27" s="418">
        <f t="shared" ref="AQ27" si="106">SUBTOTAL(9,AQ28:AQ30)</f>
        <v>0</v>
      </c>
      <c r="AR27" s="418">
        <f t="shared" ref="AR27" si="107">SUBTOTAL(9,AR28:AR30)</f>
        <v>0</v>
      </c>
      <c r="AS27" s="511" t="str">
        <f>IF(COUNTIF(AS28:AS30,"@@")&gt;0,"@@","OK")</f>
        <v>OK</v>
      </c>
    </row>
    <row r="28" spans="1:45" s="19" customFormat="1" ht="80.099999999999994" customHeight="1">
      <c r="A28" s="126" t="str">
        <f>IF(D28="","",COUNTA($C$7:C28)-COUNTBLANK($C$7:C28)+6)</f>
        <v/>
      </c>
      <c r="B28" s="127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27" t="str">
        <f>IF(D28="","",IF(OR(D28="교육지원과",D28="총무과",D28="인사과"),"직접입력",VLOOKUP(D28,구분표!$A$3:$C$258,3,)))</f>
        <v/>
      </c>
      <c r="D28" s="194"/>
      <c r="E28" s="181"/>
      <c r="F28" s="350" t="str">
        <f>IF($E28="","",IF($E28="2추","직접입력","-"))</f>
        <v/>
      </c>
      <c r="G28" s="350" t="str">
        <f>IF($E28="","",IF($E28="2추","직접입력","-"))</f>
        <v/>
      </c>
      <c r="H28" s="182"/>
      <c r="I28" s="203" t="str">
        <f>IF(H28="","",VLOOKUP($H28,구분표!$O$3:$P$168,2,FALSE))</f>
        <v/>
      </c>
      <c r="J28" s="183"/>
      <c r="K28" s="419" t="str">
        <f>IF($E28="","",IF(OR($E28="2추",  $E28="1추", $E28="본예산"), "금액입력", "-"))</f>
        <v/>
      </c>
      <c r="L28" s="419" t="str">
        <f>IF($E28="", "", IF($E28="2추","금액입력", "-"))</f>
        <v/>
      </c>
      <c r="M28" s="421" t="str">
        <f t="shared" ref="M28:M30" si="108">IF($E28="","",SUM(K28:L28))</f>
        <v/>
      </c>
      <c r="N28" s="420"/>
      <c r="O28" s="421">
        <f t="shared" ref="O28:O30" si="109">SUM(M28:N28)</f>
        <v>0</v>
      </c>
      <c r="P28" s="422"/>
      <c r="Q28" s="423">
        <f t="shared" ref="Q28:Q30" si="110">SUM(M28,P28)</f>
        <v>0</v>
      </c>
      <c r="R28" s="133" t="str">
        <f t="shared" ref="R28:R30" si="111">IF(AND((O28=0),(Q28&gt;0)),"O",IF(AND((N28&lt;0),(O28-Q28&lt;0)),"O","X"))</f>
        <v>X</v>
      </c>
      <c r="S28" s="198"/>
      <c r="T28" s="193"/>
      <c r="U28" s="185"/>
      <c r="V28" s="172"/>
      <c r="W28" s="133" t="str">
        <f t="shared" ref="W28:W30" si="112">IF($H28="","",IF(OR($H28="511-01", $H28="511-02", $H28="511-03", $H28="311-02", $H28="311-04", $H28="321-01"),"국도비","도비"))</f>
        <v/>
      </c>
      <c r="X28" s="185"/>
      <c r="Y28" s="44"/>
      <c r="Z28" s="468" t="str">
        <f t="shared" ref="Z28:Z30" si="113">IF($W28="", "", IF($W28="국도비",$N28, 0))</f>
        <v/>
      </c>
      <c r="AA28" s="468" t="str">
        <f t="shared" ref="AA28:AA30" si="114">IF($W28="", "", IF($W28="도비",$N28, 0))</f>
        <v/>
      </c>
      <c r="AB28" s="336" t="str">
        <f t="shared" ref="AB28:AB30" si="115">IF($W28="", "", IF($N28=SUM($Z28:$AA28),"OK","@@"))</f>
        <v/>
      </c>
      <c r="AC28" s="45"/>
      <c r="AD28" s="468" t="str">
        <f t="shared" ref="AD28:AD30" si="116">IF($W28="", "", IF($W28="국도비",$P28, 0))</f>
        <v/>
      </c>
      <c r="AE28" s="468" t="str">
        <f t="shared" ref="AE28:AE30" si="117">IF($W28="", "", IF($W28="도비",$P28, 0))</f>
        <v/>
      </c>
      <c r="AF28" s="336" t="str">
        <f t="shared" ref="AF28:AF30" si="118">IF($W28="", "", IF($P28=SUM($AD28:$AE28),"OK","@@"))</f>
        <v/>
      </c>
      <c r="AG28" s="45"/>
      <c r="AH28" s="336" t="str">
        <f>IF(AK28="","",IF($W28="도비","-",CONCATENATE(AK28,"-",COUNTIF(AK$7:$AK28,AK28))))</f>
        <v/>
      </c>
      <c r="AI28" s="336" t="str">
        <f t="shared" ref="AI28:AI30" si="119">IF($H28="","",IF($H28="511-01","국비",IF($H28="511-02","균특",IF($H28="511-03","기금",IF($H28="311-02","특교",IF($H28="311-04","소교",IF($H28="321-01","소멸","도비")))))))</f>
        <v/>
      </c>
      <c r="AJ28" s="45"/>
      <c r="AK28" s="336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32" t="str">
        <f>IF($AH28="","",IF($AH28="-",0, SUMIFS('5. 기출'!$AB$7:$AB$2012,'5. 기출'!$AJ$7:$AJ$2012,$AH28)))</f>
        <v/>
      </c>
      <c r="AN28" s="339" t="str">
        <f>IF($AH28="","",IF($AH28="-", 0, COUNTIF('5. 기출'!$AJ$7:$AJ$2012,$AH28)))</f>
        <v/>
      </c>
      <c r="AO28" s="336" t="str">
        <f t="shared" ref="AO28:AO30" si="120">IF($AH28="", "", IF($Z28=$AM28,"OK","@@"))</f>
        <v/>
      </c>
      <c r="AP28" s="46"/>
      <c r="AQ28" s="432" t="str">
        <f>IF($AH28="","",IF($AH28="-",0, SUMIFS('5. 기출'!$AF$7:$AF$2012,'5. 기출'!$AJ$7:$AJ$2012,$AH28)))</f>
        <v/>
      </c>
      <c r="AR28" s="339" t="str">
        <f>IF($AH28="","",IF($AH28="-", 0, COUNTIF('5. 기출'!$AJ$7:$AJ$2012,$AH28)))</f>
        <v/>
      </c>
      <c r="AS28" s="336" t="str">
        <f t="shared" ref="AS28:AS30" si="121">IF($AH28="", "", IF($AD28=$AQ28,"OK","@@"))</f>
        <v/>
      </c>
    </row>
    <row r="29" spans="1:45" s="19" customFormat="1" ht="80.099999999999994" customHeight="1">
      <c r="A29" s="126" t="str">
        <f>IF(D29="","",COUNTA($C$7:C29)-COUNTBLANK($C$7:C29)+6)</f>
        <v/>
      </c>
      <c r="B29" s="127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27" t="str">
        <f>IF(D29="","",IF(OR(D29="교육지원과",D29="총무과",D29="인사과"),"직접입력",VLOOKUP(D29,구분표!$A$3:$C$258,3,)))</f>
        <v/>
      </c>
      <c r="D29" s="194"/>
      <c r="E29" s="181"/>
      <c r="F29" s="350" t="str">
        <f t="shared" ref="F29:G30" si="122">IF($E29="","",IF($E29="2추","직접입력","-"))</f>
        <v/>
      </c>
      <c r="G29" s="350" t="str">
        <f t="shared" si="122"/>
        <v/>
      </c>
      <c r="H29" s="182"/>
      <c r="I29" s="203" t="str">
        <f>IF(H29="","",VLOOKUP($H29,구분표!$O$3:$P$168,2,FALSE))</f>
        <v/>
      </c>
      <c r="J29" s="183"/>
      <c r="K29" s="419" t="str">
        <f t="shared" ref="K29:K30" si="123">IF($E29="","",IF(OR($E29="2추",  $E29="1추", $E29="본예산"), "금액입력", "-"))</f>
        <v/>
      </c>
      <c r="L29" s="419" t="str">
        <f t="shared" ref="L29:L30" si="124">IF($E29="", "", IF($E29="2추","금액입력", "-"))</f>
        <v/>
      </c>
      <c r="M29" s="421" t="str">
        <f t="shared" si="108"/>
        <v/>
      </c>
      <c r="N29" s="420"/>
      <c r="O29" s="421">
        <f t="shared" si="109"/>
        <v>0</v>
      </c>
      <c r="P29" s="422"/>
      <c r="Q29" s="423">
        <f t="shared" si="110"/>
        <v>0</v>
      </c>
      <c r="R29" s="133" t="str">
        <f t="shared" si="111"/>
        <v>X</v>
      </c>
      <c r="S29" s="198"/>
      <c r="T29" s="193"/>
      <c r="U29" s="185"/>
      <c r="V29" s="172"/>
      <c r="W29" s="133" t="str">
        <f t="shared" si="112"/>
        <v/>
      </c>
      <c r="X29" s="185"/>
      <c r="Y29" s="44"/>
      <c r="Z29" s="468" t="str">
        <f t="shared" si="113"/>
        <v/>
      </c>
      <c r="AA29" s="468" t="str">
        <f t="shared" si="114"/>
        <v/>
      </c>
      <c r="AB29" s="336" t="str">
        <f t="shared" si="115"/>
        <v/>
      </c>
      <c r="AC29" s="45"/>
      <c r="AD29" s="468" t="str">
        <f t="shared" si="116"/>
        <v/>
      </c>
      <c r="AE29" s="468" t="str">
        <f t="shared" si="117"/>
        <v/>
      </c>
      <c r="AF29" s="336" t="str">
        <f t="shared" si="118"/>
        <v/>
      </c>
      <c r="AG29" s="45"/>
      <c r="AH29" s="336" t="str">
        <f>IF(AK29="","",IF($W29="도비","-",CONCATENATE(AK29,"-",COUNTIF(AK$7:$AK29,AK29))))</f>
        <v/>
      </c>
      <c r="AI29" s="336" t="str">
        <f t="shared" si="119"/>
        <v/>
      </c>
      <c r="AJ29" s="45"/>
      <c r="AK29" s="336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32" t="str">
        <f>IF($AH29="","",IF($AH29="-",0, SUMIFS('5. 기출'!$AB$7:$AB$2012,'5. 기출'!$AJ$7:$AJ$2012,$AH29)))</f>
        <v/>
      </c>
      <c r="AN29" s="339" t="str">
        <f>IF($AH29="","",IF($AH29="-", 0, COUNTIF('5. 기출'!$AJ$7:$AJ$2012,$AH29)))</f>
        <v/>
      </c>
      <c r="AO29" s="336" t="str">
        <f t="shared" si="120"/>
        <v/>
      </c>
      <c r="AP29" s="46"/>
      <c r="AQ29" s="432" t="str">
        <f>IF($AH29="","",IF($AH29="-",0, SUMIFS('5. 기출'!$AF$7:$AF$2012,'5. 기출'!$AJ$7:$AJ$2012,$AH29)))</f>
        <v/>
      </c>
      <c r="AR29" s="339" t="str">
        <f>IF($AH29="","",IF($AH29="-", 0, COUNTIF('5. 기출'!$AJ$7:$AJ$2012,$AH29)))</f>
        <v/>
      </c>
      <c r="AS29" s="336" t="str">
        <f t="shared" si="121"/>
        <v/>
      </c>
    </row>
    <row r="30" spans="1:45" s="19" customFormat="1" ht="80.099999999999994" customHeight="1">
      <c r="A30" s="126" t="str">
        <f>IF(D30="","",COUNTA($C$7:C30)-COUNTBLANK($C$7:C30)+6)</f>
        <v/>
      </c>
      <c r="B30" s="127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27" t="str">
        <f>IF(D30="","",IF(OR(D30="교육지원과",D30="총무과",D30="인사과"),"직접입력",VLOOKUP(D30,구분표!$A$3:$C$258,3,)))</f>
        <v/>
      </c>
      <c r="D30" s="194"/>
      <c r="E30" s="181"/>
      <c r="F30" s="350" t="str">
        <f t="shared" si="122"/>
        <v/>
      </c>
      <c r="G30" s="350" t="str">
        <f t="shared" si="122"/>
        <v/>
      </c>
      <c r="H30" s="182"/>
      <c r="I30" s="203" t="str">
        <f>IF(H30="","",VLOOKUP($H30,구분표!$O$3:$P$168,2,FALSE))</f>
        <v/>
      </c>
      <c r="J30" s="183"/>
      <c r="K30" s="419" t="str">
        <f t="shared" si="123"/>
        <v/>
      </c>
      <c r="L30" s="419" t="str">
        <f t="shared" si="124"/>
        <v/>
      </c>
      <c r="M30" s="421" t="str">
        <f t="shared" si="108"/>
        <v/>
      </c>
      <c r="N30" s="420"/>
      <c r="O30" s="421">
        <f t="shared" si="109"/>
        <v>0</v>
      </c>
      <c r="P30" s="422"/>
      <c r="Q30" s="423">
        <f t="shared" si="110"/>
        <v>0</v>
      </c>
      <c r="R30" s="133" t="str">
        <f t="shared" si="111"/>
        <v>X</v>
      </c>
      <c r="S30" s="198"/>
      <c r="T30" s="193"/>
      <c r="U30" s="185"/>
      <c r="V30" s="172"/>
      <c r="W30" s="133" t="str">
        <f t="shared" si="112"/>
        <v/>
      </c>
      <c r="X30" s="185"/>
      <c r="Y30" s="44"/>
      <c r="Z30" s="468" t="str">
        <f t="shared" si="113"/>
        <v/>
      </c>
      <c r="AA30" s="468" t="str">
        <f t="shared" si="114"/>
        <v/>
      </c>
      <c r="AB30" s="336" t="str">
        <f t="shared" si="115"/>
        <v/>
      </c>
      <c r="AC30" s="45"/>
      <c r="AD30" s="468" t="str">
        <f t="shared" si="116"/>
        <v/>
      </c>
      <c r="AE30" s="468" t="str">
        <f t="shared" si="117"/>
        <v/>
      </c>
      <c r="AF30" s="336" t="str">
        <f t="shared" si="118"/>
        <v/>
      </c>
      <c r="AG30" s="45"/>
      <c r="AH30" s="336" t="str">
        <f>IF(AK30="","",IF($W30="도비","-",CONCATENATE(AK30,"-",COUNTIF(AK$7:$AK30,AK30))))</f>
        <v/>
      </c>
      <c r="AI30" s="336" t="str">
        <f t="shared" si="119"/>
        <v/>
      </c>
      <c r="AJ30" s="45"/>
      <c r="AK30" s="336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32" t="str">
        <f>IF($AH30="","",IF($AH30="-",0, SUMIFS('5. 기출'!$AB$7:$AB$2012,'5. 기출'!$AJ$7:$AJ$2012,$AH30)))</f>
        <v/>
      </c>
      <c r="AN30" s="339" t="str">
        <f>IF($AH30="","",IF($AH30="-", 0, COUNTIF('5. 기출'!$AJ$7:$AJ$2012,$AH30)))</f>
        <v/>
      </c>
      <c r="AO30" s="336" t="str">
        <f t="shared" si="120"/>
        <v/>
      </c>
      <c r="AP30" s="46"/>
      <c r="AQ30" s="432" t="str">
        <f>IF($AH30="","",IF($AH30="-",0, SUMIFS('5. 기출'!$AF$7:$AF$2012,'5. 기출'!$AJ$7:$AJ$2012,$AH30)))</f>
        <v/>
      </c>
      <c r="AR30" s="339" t="str">
        <f>IF($AH30="","",IF($AH30="-", 0, COUNTIF('5. 기출'!$AJ$7:$AJ$2012,$AH30)))</f>
        <v/>
      </c>
      <c r="AS30" s="336" t="str">
        <f t="shared" si="121"/>
        <v/>
      </c>
    </row>
    <row r="31" spans="1:45" ht="60" customHeight="1">
      <c r="A31" s="141"/>
      <c r="B31" s="886" t="s">
        <v>780</v>
      </c>
      <c r="C31" s="886"/>
      <c r="D31" s="886"/>
      <c r="E31" s="886"/>
      <c r="F31" s="886"/>
      <c r="G31" s="886"/>
      <c r="H31" s="78"/>
      <c r="I31" s="78"/>
      <c r="J31" s="313" t="str">
        <f>SUBTOTAL(3,J32:J34)&amp;"건"</f>
        <v>0건</v>
      </c>
      <c r="K31" s="418">
        <f t="shared" ref="K31:Q31" si="125">SUBTOTAL(9,K32:K34)</f>
        <v>0</v>
      </c>
      <c r="L31" s="418">
        <f t="shared" si="125"/>
        <v>0</v>
      </c>
      <c r="M31" s="418">
        <f t="shared" si="125"/>
        <v>0</v>
      </c>
      <c r="N31" s="418">
        <f t="shared" si="125"/>
        <v>0</v>
      </c>
      <c r="O31" s="418">
        <f t="shared" si="125"/>
        <v>0</v>
      </c>
      <c r="P31" s="418">
        <f t="shared" si="125"/>
        <v>0</v>
      </c>
      <c r="Q31" s="418">
        <f t="shared" si="125"/>
        <v>0</v>
      </c>
      <c r="R31" s="77"/>
      <c r="S31" s="77"/>
      <c r="T31" s="77"/>
      <c r="U31" s="77"/>
      <c r="V31" s="77"/>
      <c r="W31" s="79"/>
      <c r="X31" s="79"/>
      <c r="Y31" s="42"/>
      <c r="Z31" s="418">
        <f>SUBTOTAL(9,Z32:Z34)</f>
        <v>0</v>
      </c>
      <c r="AA31" s="418">
        <f>SUBTOTAL(9,AA32:AA34)</f>
        <v>0</v>
      </c>
      <c r="AB31" s="511" t="str">
        <f>IF(COUNTIF(AB32:AB34,"@@")&gt;0,"@@","OK")</f>
        <v>OK</v>
      </c>
      <c r="AC31" s="43"/>
      <c r="AD31" s="418">
        <f>SUBTOTAL(9,AD32:AD34)</f>
        <v>0</v>
      </c>
      <c r="AE31" s="418">
        <f>SUBTOTAL(9,AE32:AE34)</f>
        <v>0</v>
      </c>
      <c r="AF31" s="511" t="str">
        <f>IF(COUNTIF(AF32:AF34,"@@")&gt;0,"@@","OK")</f>
        <v>OK</v>
      </c>
      <c r="AG31" s="43"/>
      <c r="AH31" s="141"/>
      <c r="AI31" s="141"/>
      <c r="AJ31" s="43"/>
      <c r="AK31" s="141"/>
      <c r="AL31" s="43"/>
      <c r="AM31" s="418">
        <f>SUBTOTAL(9,AM32:AM34)</f>
        <v>0</v>
      </c>
      <c r="AN31" s="418">
        <f>SUBTOTAL(9,AN32:AN34)</f>
        <v>0</v>
      </c>
      <c r="AO31" s="511" t="str">
        <f>IF(COUNTIF(AO32:AO34,"@@")&gt;0,"@@","OK")</f>
        <v>OK</v>
      </c>
      <c r="AP31" s="43"/>
      <c r="AQ31" s="418">
        <f t="shared" ref="AQ31" si="126">SUBTOTAL(9,AQ32:AQ34)</f>
        <v>0</v>
      </c>
      <c r="AR31" s="418">
        <f t="shared" ref="AR31" si="127">SUBTOTAL(9,AR32:AR34)</f>
        <v>0</v>
      </c>
      <c r="AS31" s="511" t="str">
        <f>IF(COUNTIF(AS32:AS34,"@@")&gt;0,"@@","OK")</f>
        <v>OK</v>
      </c>
    </row>
    <row r="32" spans="1:45" s="19" customFormat="1" ht="80.099999999999994" customHeight="1">
      <c r="A32" s="126" t="str">
        <f>IF(D32="","",COUNTA($C$7:C32)-COUNTBLANK($C$7:C32)+7)</f>
        <v/>
      </c>
      <c r="B32" s="127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27" t="str">
        <f>IF(D32="","",IF(OR(D32="교육지원과",D32="총무과",D32="인사과"),"직접입력",VLOOKUP(D32,구분표!$A$3:$C$258,3,)))</f>
        <v/>
      </c>
      <c r="D32" s="194"/>
      <c r="E32" s="181"/>
      <c r="F32" s="350" t="str">
        <f>IF($E32="","",IF($E32="2추","직접입력","-"))</f>
        <v/>
      </c>
      <c r="G32" s="350" t="str">
        <f>IF($E32="","",IF($E32="2추","직접입력","-"))</f>
        <v/>
      </c>
      <c r="H32" s="182"/>
      <c r="I32" s="203" t="str">
        <f>IF(H32="","",VLOOKUP($H32,구분표!$O$3:$P$168,2,FALSE))</f>
        <v/>
      </c>
      <c r="J32" s="183"/>
      <c r="K32" s="419" t="str">
        <f>IF($E32="","",IF(OR($E32="2추",  $E32="1추", $E32="본예산"), "금액입력", "-"))</f>
        <v/>
      </c>
      <c r="L32" s="419" t="str">
        <f>IF($E32="", "", IF($E32="2추","금액입력", "-"))</f>
        <v/>
      </c>
      <c r="M32" s="421" t="str">
        <f t="shared" ref="M32:M34" si="128">IF($E32="","",SUM(K32:L32))</f>
        <v/>
      </c>
      <c r="N32" s="420"/>
      <c r="O32" s="421">
        <f t="shared" ref="O32:O34" si="129">SUM(M32:N32)</f>
        <v>0</v>
      </c>
      <c r="P32" s="422"/>
      <c r="Q32" s="423">
        <f t="shared" ref="Q32:Q34" si="130">SUM(M32,P32)</f>
        <v>0</v>
      </c>
      <c r="R32" s="133" t="str">
        <f t="shared" ref="R32:R34" si="131">IF(AND((O32=0),(Q32&gt;0)),"O",IF(AND((N32&lt;0),(O32-Q32&lt;0)),"O","X"))</f>
        <v>X</v>
      </c>
      <c r="S32" s="198"/>
      <c r="T32" s="193"/>
      <c r="U32" s="185"/>
      <c r="V32" s="172"/>
      <c r="W32" s="133" t="str">
        <f t="shared" ref="W32:W34" si="132">IF($H32="","",IF(OR($H32="511-01", $H32="511-02", $H32="511-03", $H32="311-02", $H32="311-04", $H32="321-01"),"국도비","도비"))</f>
        <v/>
      </c>
      <c r="X32" s="185"/>
      <c r="Y32" s="44"/>
      <c r="Z32" s="468" t="str">
        <f t="shared" ref="Z32:Z34" si="133">IF($W32="", "", IF($W32="국도비",$N32, 0))</f>
        <v/>
      </c>
      <c r="AA32" s="468" t="str">
        <f t="shared" ref="AA32:AA34" si="134">IF($W32="", "", IF($W32="도비",$N32, 0))</f>
        <v/>
      </c>
      <c r="AB32" s="336" t="str">
        <f t="shared" ref="AB32:AB34" si="135">IF($W32="", "", IF($N32=SUM($Z32:$AA32),"OK","@@"))</f>
        <v/>
      </c>
      <c r="AC32" s="45"/>
      <c r="AD32" s="468" t="str">
        <f t="shared" ref="AD32:AD34" si="136">IF($W32="", "", IF($W32="국도비",$P32, 0))</f>
        <v/>
      </c>
      <c r="AE32" s="468" t="str">
        <f t="shared" ref="AE32:AE34" si="137">IF($W32="", "", IF($W32="도비",$P32, 0))</f>
        <v/>
      </c>
      <c r="AF32" s="336" t="str">
        <f t="shared" ref="AF32:AF34" si="138">IF($W32="", "", IF($P32=SUM($AD32:$AE32),"OK","@@"))</f>
        <v/>
      </c>
      <c r="AG32" s="45"/>
      <c r="AH32" s="336" t="str">
        <f>IF(AK32="","",IF($W32="도비","-",CONCATENATE(AK32,"-",COUNTIF(AK$7:$AK32,AK32))))</f>
        <v/>
      </c>
      <c r="AI32" s="336" t="str">
        <f t="shared" ref="AI32:AI34" si="139">IF($H32="","",IF($H32="511-01","국비",IF($H32="511-02","균특",IF($H32="511-03","기금",IF($H32="311-02","특교",IF($H32="311-04","소교",IF($H32="321-01","소멸","도비")))))))</f>
        <v/>
      </c>
      <c r="AJ32" s="45"/>
      <c r="AK32" s="336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32" t="str">
        <f>IF($AH32="","",IF($AH32="-",0, SUMIFS('5. 기출'!$AB$7:$AB$2012,'5. 기출'!$AJ$7:$AJ$2012,$AH32)))</f>
        <v/>
      </c>
      <c r="AN32" s="339" t="str">
        <f>IF($AH32="","",IF($AH32="-", 0, COUNTIF('5. 기출'!$AJ$7:$AJ$2012,$AH32)))</f>
        <v/>
      </c>
      <c r="AO32" s="336" t="str">
        <f t="shared" ref="AO32:AO34" si="140">IF($AH32="", "", IF($Z32=$AM32,"OK","@@"))</f>
        <v/>
      </c>
      <c r="AP32" s="46"/>
      <c r="AQ32" s="432" t="str">
        <f>IF($AH32="","",IF($AH32="-",0, SUMIFS('5. 기출'!$AF$7:$AF$2012,'5. 기출'!$AJ$7:$AJ$2012,$AH32)))</f>
        <v/>
      </c>
      <c r="AR32" s="339" t="str">
        <f>IF($AH32="","",IF($AH32="-", 0, COUNTIF('5. 기출'!$AJ$7:$AJ$2012,$AH32)))</f>
        <v/>
      </c>
      <c r="AS32" s="336" t="str">
        <f t="shared" ref="AS32:AS34" si="141">IF($AH32="", "", IF($AD32=$AQ32,"OK","@@"))</f>
        <v/>
      </c>
    </row>
    <row r="33" spans="1:45" s="19" customFormat="1" ht="80.099999999999994" customHeight="1">
      <c r="A33" s="126" t="str">
        <f>IF(D33="","",COUNTA($C$7:C33)-COUNTBLANK($C$7:C33)+7)</f>
        <v/>
      </c>
      <c r="B33" s="127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27" t="str">
        <f>IF(D33="","",IF(OR(D33="교육지원과",D33="총무과",D33="인사과"),"직접입력",VLOOKUP(D33,구분표!$A$3:$C$258,3,)))</f>
        <v/>
      </c>
      <c r="D33" s="194"/>
      <c r="E33" s="181"/>
      <c r="F33" s="350" t="str">
        <f t="shared" ref="F33:G34" si="142">IF($E33="","",IF($E33="2추","직접입력","-"))</f>
        <v/>
      </c>
      <c r="G33" s="350" t="str">
        <f t="shared" si="142"/>
        <v/>
      </c>
      <c r="H33" s="182"/>
      <c r="I33" s="203" t="str">
        <f>IF(H33="","",VLOOKUP($H33,구분표!$O$3:$P$168,2,FALSE))</f>
        <v/>
      </c>
      <c r="J33" s="183"/>
      <c r="K33" s="419" t="str">
        <f t="shared" ref="K33:K34" si="143">IF($E33="","",IF(OR($E33="2추",  $E33="1추", $E33="본예산"), "금액입력", "-"))</f>
        <v/>
      </c>
      <c r="L33" s="419" t="str">
        <f t="shared" ref="L33:L34" si="144">IF($E33="", "", IF($E33="2추","금액입력", "-"))</f>
        <v/>
      </c>
      <c r="M33" s="421" t="str">
        <f t="shared" si="128"/>
        <v/>
      </c>
      <c r="N33" s="420"/>
      <c r="O33" s="421">
        <f t="shared" si="129"/>
        <v>0</v>
      </c>
      <c r="P33" s="422"/>
      <c r="Q33" s="423">
        <f t="shared" si="130"/>
        <v>0</v>
      </c>
      <c r="R33" s="133" t="str">
        <f t="shared" si="131"/>
        <v>X</v>
      </c>
      <c r="S33" s="198"/>
      <c r="T33" s="193"/>
      <c r="U33" s="185"/>
      <c r="V33" s="172"/>
      <c r="W33" s="133" t="str">
        <f t="shared" si="132"/>
        <v/>
      </c>
      <c r="X33" s="185"/>
      <c r="Y33" s="44"/>
      <c r="Z33" s="468" t="str">
        <f t="shared" si="133"/>
        <v/>
      </c>
      <c r="AA33" s="468" t="str">
        <f t="shared" si="134"/>
        <v/>
      </c>
      <c r="AB33" s="336" t="str">
        <f t="shared" si="135"/>
        <v/>
      </c>
      <c r="AC33" s="45"/>
      <c r="AD33" s="468" t="str">
        <f t="shared" si="136"/>
        <v/>
      </c>
      <c r="AE33" s="468" t="str">
        <f t="shared" si="137"/>
        <v/>
      </c>
      <c r="AF33" s="336" t="str">
        <f t="shared" si="138"/>
        <v/>
      </c>
      <c r="AG33" s="45"/>
      <c r="AH33" s="336" t="str">
        <f>IF(AK33="","",IF($W33="도비","-",CONCATENATE(AK33,"-",COUNTIF(AK$7:$AK33,AK33))))</f>
        <v/>
      </c>
      <c r="AI33" s="336" t="str">
        <f t="shared" si="139"/>
        <v/>
      </c>
      <c r="AJ33" s="45"/>
      <c r="AK33" s="336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32" t="str">
        <f>IF($AH33="","",IF($AH33="-",0, SUMIFS('5. 기출'!$AB$7:$AB$2012,'5. 기출'!$AJ$7:$AJ$2012,$AH33)))</f>
        <v/>
      </c>
      <c r="AN33" s="339" t="str">
        <f>IF($AH33="","",IF($AH33="-", 0, COUNTIF('5. 기출'!$AJ$7:$AJ$2012,$AH33)))</f>
        <v/>
      </c>
      <c r="AO33" s="336" t="str">
        <f t="shared" si="140"/>
        <v/>
      </c>
      <c r="AP33" s="46"/>
      <c r="AQ33" s="432" t="str">
        <f>IF($AH33="","",IF($AH33="-",0, SUMIFS('5. 기출'!$AF$7:$AF$2012,'5. 기출'!$AJ$7:$AJ$2012,$AH33)))</f>
        <v/>
      </c>
      <c r="AR33" s="339" t="str">
        <f>IF($AH33="","",IF($AH33="-", 0, COUNTIF('5. 기출'!$AJ$7:$AJ$2012,$AH33)))</f>
        <v/>
      </c>
      <c r="AS33" s="336" t="str">
        <f t="shared" si="141"/>
        <v/>
      </c>
    </row>
    <row r="34" spans="1:45" s="19" customFormat="1" ht="80.099999999999994" customHeight="1">
      <c r="A34" s="126" t="str">
        <f>IF(D34="","",COUNTA($C$7:C34)-COUNTBLANK($C$7:C34)+7)</f>
        <v/>
      </c>
      <c r="B34" s="127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27" t="str">
        <f>IF(D34="","",IF(OR(D34="교육지원과",D34="총무과",D34="인사과"),"직접입력",VLOOKUP(D34,구분표!$A$3:$C$258,3,)))</f>
        <v/>
      </c>
      <c r="D34" s="194"/>
      <c r="E34" s="181"/>
      <c r="F34" s="350" t="str">
        <f t="shared" si="142"/>
        <v/>
      </c>
      <c r="G34" s="350" t="str">
        <f t="shared" si="142"/>
        <v/>
      </c>
      <c r="H34" s="182"/>
      <c r="I34" s="203" t="str">
        <f>IF(H34="","",VLOOKUP($H34,구분표!$O$3:$P$168,2,FALSE))</f>
        <v/>
      </c>
      <c r="J34" s="183"/>
      <c r="K34" s="419" t="str">
        <f t="shared" si="143"/>
        <v/>
      </c>
      <c r="L34" s="419" t="str">
        <f t="shared" si="144"/>
        <v/>
      </c>
      <c r="M34" s="421" t="str">
        <f t="shared" si="128"/>
        <v/>
      </c>
      <c r="N34" s="420"/>
      <c r="O34" s="421">
        <f t="shared" si="129"/>
        <v>0</v>
      </c>
      <c r="P34" s="422"/>
      <c r="Q34" s="423">
        <f t="shared" si="130"/>
        <v>0</v>
      </c>
      <c r="R34" s="133" t="str">
        <f t="shared" si="131"/>
        <v>X</v>
      </c>
      <c r="S34" s="198"/>
      <c r="T34" s="193"/>
      <c r="U34" s="185"/>
      <c r="V34" s="172"/>
      <c r="W34" s="133" t="str">
        <f t="shared" si="132"/>
        <v/>
      </c>
      <c r="X34" s="185"/>
      <c r="Y34" s="44"/>
      <c r="Z34" s="468" t="str">
        <f t="shared" si="133"/>
        <v/>
      </c>
      <c r="AA34" s="468" t="str">
        <f t="shared" si="134"/>
        <v/>
      </c>
      <c r="AB34" s="336" t="str">
        <f t="shared" si="135"/>
        <v/>
      </c>
      <c r="AC34" s="45"/>
      <c r="AD34" s="468" t="str">
        <f t="shared" si="136"/>
        <v/>
      </c>
      <c r="AE34" s="468" t="str">
        <f t="shared" si="137"/>
        <v/>
      </c>
      <c r="AF34" s="336" t="str">
        <f t="shared" si="138"/>
        <v/>
      </c>
      <c r="AG34" s="45"/>
      <c r="AH34" s="336" t="str">
        <f>IF(AK34="","",IF($W34="도비","-",CONCATENATE(AK34,"-",COUNTIF(AK$7:$AK34,AK34))))</f>
        <v/>
      </c>
      <c r="AI34" s="336" t="str">
        <f t="shared" si="139"/>
        <v/>
      </c>
      <c r="AJ34" s="45"/>
      <c r="AK34" s="336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32" t="str">
        <f>IF($AH34="","",IF($AH34="-",0, SUMIFS('5. 기출'!$AB$7:$AB$2012,'5. 기출'!$AJ$7:$AJ$2012,$AH34)))</f>
        <v/>
      </c>
      <c r="AN34" s="339" t="str">
        <f>IF($AH34="","",IF($AH34="-", 0, COUNTIF('5. 기출'!$AJ$7:$AJ$2012,$AH34)))</f>
        <v/>
      </c>
      <c r="AO34" s="336" t="str">
        <f t="shared" si="140"/>
        <v/>
      </c>
      <c r="AP34" s="46"/>
      <c r="AQ34" s="432" t="str">
        <f>IF($AH34="","",IF($AH34="-",0, SUMIFS('5. 기출'!$AF$7:$AF$2012,'5. 기출'!$AJ$7:$AJ$2012,$AH34)))</f>
        <v/>
      </c>
      <c r="AR34" s="339" t="str">
        <f>IF($AH34="","",IF($AH34="-", 0, COUNTIF('5. 기출'!$AJ$7:$AJ$2012,$AH34)))</f>
        <v/>
      </c>
      <c r="AS34" s="336" t="str">
        <f t="shared" si="141"/>
        <v/>
      </c>
    </row>
    <row r="35" spans="1:45" ht="60" customHeight="1">
      <c r="A35" s="141"/>
      <c r="B35" s="886" t="s">
        <v>781</v>
      </c>
      <c r="C35" s="886"/>
      <c r="D35" s="886"/>
      <c r="E35" s="886"/>
      <c r="F35" s="886"/>
      <c r="G35" s="886"/>
      <c r="H35" s="78"/>
      <c r="I35" s="78"/>
      <c r="J35" s="313" t="str">
        <f>SUBTOTAL(3,J36:J38)&amp;"건"</f>
        <v>0건</v>
      </c>
      <c r="K35" s="418">
        <f t="shared" ref="K35:Q35" si="145">SUBTOTAL(9,K36:K38)</f>
        <v>0</v>
      </c>
      <c r="L35" s="418">
        <f t="shared" si="145"/>
        <v>0</v>
      </c>
      <c r="M35" s="418">
        <f t="shared" si="145"/>
        <v>0</v>
      </c>
      <c r="N35" s="418">
        <f t="shared" si="145"/>
        <v>0</v>
      </c>
      <c r="O35" s="418">
        <f t="shared" si="145"/>
        <v>0</v>
      </c>
      <c r="P35" s="418">
        <f t="shared" si="145"/>
        <v>0</v>
      </c>
      <c r="Q35" s="418">
        <f t="shared" si="145"/>
        <v>0</v>
      </c>
      <c r="R35" s="77"/>
      <c r="S35" s="77"/>
      <c r="T35" s="77"/>
      <c r="U35" s="77"/>
      <c r="V35" s="77"/>
      <c r="W35" s="79"/>
      <c r="X35" s="79"/>
      <c r="Y35" s="42"/>
      <c r="Z35" s="418">
        <f>SUBTOTAL(9,Z36:Z38)</f>
        <v>0</v>
      </c>
      <c r="AA35" s="418">
        <f>SUBTOTAL(9,AA36:AA38)</f>
        <v>0</v>
      </c>
      <c r="AB35" s="511" t="str">
        <f>IF(COUNTIF(AB36:AB38,"@@")&gt;0,"@@","OK")</f>
        <v>OK</v>
      </c>
      <c r="AC35" s="43"/>
      <c r="AD35" s="418">
        <f>SUBTOTAL(9,AD36:AD38)</f>
        <v>0</v>
      </c>
      <c r="AE35" s="418">
        <f>SUBTOTAL(9,AE36:AE38)</f>
        <v>0</v>
      </c>
      <c r="AF35" s="511" t="str">
        <f>IF(COUNTIF(AF36:AF38,"@@")&gt;0,"@@","OK")</f>
        <v>OK</v>
      </c>
      <c r="AG35" s="43"/>
      <c r="AH35" s="141"/>
      <c r="AI35" s="141"/>
      <c r="AJ35" s="43"/>
      <c r="AK35" s="141"/>
      <c r="AL35" s="43"/>
      <c r="AM35" s="418">
        <f>SUBTOTAL(9,AM36:AM38)</f>
        <v>0</v>
      </c>
      <c r="AN35" s="418">
        <f>SUBTOTAL(9,AN36:AN38)</f>
        <v>0</v>
      </c>
      <c r="AO35" s="511" t="str">
        <f>IF(COUNTIF(AO36:AO38,"@@")&gt;0,"@@","OK")</f>
        <v>OK</v>
      </c>
      <c r="AP35" s="43"/>
      <c r="AQ35" s="418">
        <f t="shared" ref="AQ35" si="146">SUBTOTAL(9,AQ36:AQ38)</f>
        <v>0</v>
      </c>
      <c r="AR35" s="418">
        <f t="shared" ref="AR35" si="147">SUBTOTAL(9,AR36:AR38)</f>
        <v>0</v>
      </c>
      <c r="AS35" s="511" t="str">
        <f>IF(COUNTIF(AS36:AS38,"@@")&gt;0,"@@","OK")</f>
        <v>OK</v>
      </c>
    </row>
    <row r="36" spans="1:45" s="19" customFormat="1" ht="80.099999999999994" customHeight="1">
      <c r="A36" s="126" t="str">
        <f>IF(D36="","",COUNTA($C$7:C36)-COUNTBLANK($C$7:C36)+8)</f>
        <v/>
      </c>
      <c r="B36" s="127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27" t="str">
        <f>IF(D36="","",IF(OR(D36="교육지원과",D36="총무과",D36="인사과"),"직접입력",VLOOKUP(D36,구분표!$A$3:$C$258,3,)))</f>
        <v/>
      </c>
      <c r="D36" s="194"/>
      <c r="E36" s="181"/>
      <c r="F36" s="350" t="str">
        <f>IF($E36="","",IF($E36="2추","직접입력","-"))</f>
        <v/>
      </c>
      <c r="G36" s="350" t="str">
        <f>IF($E36="","",IF($E36="2추","직접입력","-"))</f>
        <v/>
      </c>
      <c r="H36" s="182"/>
      <c r="I36" s="203" t="str">
        <f>IF(H36="","",VLOOKUP($H36,구분표!$O$3:$P$168,2,FALSE))</f>
        <v/>
      </c>
      <c r="J36" s="183"/>
      <c r="K36" s="419" t="str">
        <f>IF($E36="","",IF(OR($E36="2추",  $E36="1추", $E36="본예산"), "금액입력", "-"))</f>
        <v/>
      </c>
      <c r="L36" s="419" t="str">
        <f>IF($E36="", "", IF($E36="2추","금액입력", "-"))</f>
        <v/>
      </c>
      <c r="M36" s="421" t="str">
        <f t="shared" ref="M36:M38" si="148">IF($E36="","",SUM(K36:L36))</f>
        <v/>
      </c>
      <c r="N36" s="420"/>
      <c r="O36" s="421">
        <f t="shared" ref="O36:O38" si="149">SUM(M36:N36)</f>
        <v>0</v>
      </c>
      <c r="P36" s="422"/>
      <c r="Q36" s="423">
        <f t="shared" ref="Q36:Q38" si="150">SUM(M36,P36)</f>
        <v>0</v>
      </c>
      <c r="R36" s="133" t="str">
        <f t="shared" ref="R36:R38" si="151">IF(AND((O36=0),(Q36&gt;0)),"O",IF(AND((N36&lt;0),(O36-Q36&lt;0)),"O","X"))</f>
        <v>X</v>
      </c>
      <c r="S36" s="198"/>
      <c r="T36" s="193"/>
      <c r="U36" s="185"/>
      <c r="V36" s="172"/>
      <c r="W36" s="133" t="str">
        <f t="shared" ref="W36:W38" si="152">IF($H36="","",IF(OR($H36="511-01", $H36="511-02", $H36="511-03", $H36="311-02", $H36="311-04", $H36="321-01"),"국도비","도비"))</f>
        <v/>
      </c>
      <c r="X36" s="185"/>
      <c r="Y36" s="44"/>
      <c r="Z36" s="468" t="str">
        <f t="shared" ref="Z36:Z38" si="153">IF($W36="", "", IF($W36="국도비",$N36, 0))</f>
        <v/>
      </c>
      <c r="AA36" s="468" t="str">
        <f t="shared" ref="AA36:AA38" si="154">IF($W36="", "", IF($W36="도비",$N36, 0))</f>
        <v/>
      </c>
      <c r="AB36" s="336" t="str">
        <f t="shared" ref="AB36:AB38" si="155">IF($W36="", "", IF($N36=SUM($Z36:$AA36),"OK","@@"))</f>
        <v/>
      </c>
      <c r="AC36" s="45"/>
      <c r="AD36" s="468" t="str">
        <f t="shared" ref="AD36:AD38" si="156">IF($W36="", "", IF($W36="국도비",$P36, 0))</f>
        <v/>
      </c>
      <c r="AE36" s="468" t="str">
        <f t="shared" ref="AE36:AE38" si="157">IF($W36="", "", IF($W36="도비",$P36, 0))</f>
        <v/>
      </c>
      <c r="AF36" s="336" t="str">
        <f t="shared" ref="AF36:AF38" si="158">IF($W36="", "", IF($P36=SUM($AD36:$AE36),"OK","@@"))</f>
        <v/>
      </c>
      <c r="AG36" s="45"/>
      <c r="AH36" s="336" t="str">
        <f>IF(AK36="","",IF($W36="도비","-",CONCATENATE(AK36,"-",COUNTIF(AK$7:$AK36,AK36))))</f>
        <v/>
      </c>
      <c r="AI36" s="336" t="str">
        <f t="shared" ref="AI36:AI38" si="159">IF($H36="","",IF($H36="511-01","국비",IF($H36="511-02","균특",IF($H36="511-03","기금",IF($H36="311-02","특교",IF($H36="311-04","소교",IF($H36="321-01","소멸","도비")))))))</f>
        <v/>
      </c>
      <c r="AJ36" s="45"/>
      <c r="AK36" s="336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32" t="str">
        <f>IF($AH36="","",IF($AH36="-",0, SUMIFS('5. 기출'!$AB$7:$AB$2012,'5. 기출'!$AJ$7:$AJ$2012,$AH36)))</f>
        <v/>
      </c>
      <c r="AN36" s="339" t="str">
        <f>IF($AH36="","",IF($AH36="-", 0, COUNTIF('5. 기출'!$AJ$7:$AJ$2012,$AH36)))</f>
        <v/>
      </c>
      <c r="AO36" s="336" t="str">
        <f t="shared" ref="AO36:AO38" si="160">IF($AH36="", "", IF($Z36=$AM36,"OK","@@"))</f>
        <v/>
      </c>
      <c r="AP36" s="46"/>
      <c r="AQ36" s="432" t="str">
        <f>IF($AH36="","",IF($AH36="-",0, SUMIFS('5. 기출'!$AF$7:$AF$2012,'5. 기출'!$AJ$7:$AJ$2012,$AH36)))</f>
        <v/>
      </c>
      <c r="AR36" s="339" t="str">
        <f>IF($AH36="","",IF($AH36="-", 0, COUNTIF('5. 기출'!$AJ$7:$AJ$2012,$AH36)))</f>
        <v/>
      </c>
      <c r="AS36" s="336" t="str">
        <f t="shared" ref="AS36:AS38" si="161">IF($AH36="", "", IF($AD36=$AQ36,"OK","@@"))</f>
        <v/>
      </c>
    </row>
    <row r="37" spans="1:45" s="19" customFormat="1" ht="80.099999999999994" customHeight="1">
      <c r="A37" s="126" t="str">
        <f>IF(D37="","",COUNTA($C$7:C37)-COUNTBLANK($C$7:C37)+8)</f>
        <v/>
      </c>
      <c r="B37" s="127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27" t="str">
        <f>IF(D37="","",IF(OR(D37="교육지원과",D37="총무과",D37="인사과"),"직접입력",VLOOKUP(D37,구분표!$A$3:$C$258,3,)))</f>
        <v/>
      </c>
      <c r="D37" s="194"/>
      <c r="E37" s="181"/>
      <c r="F37" s="350" t="str">
        <f t="shared" ref="F37:G38" si="162">IF($E37="","",IF($E37="2추","직접입력","-"))</f>
        <v/>
      </c>
      <c r="G37" s="350" t="str">
        <f t="shared" si="162"/>
        <v/>
      </c>
      <c r="H37" s="182"/>
      <c r="I37" s="203" t="str">
        <f>IF(H37="","",VLOOKUP($H37,구분표!$O$3:$P$168,2,FALSE))</f>
        <v/>
      </c>
      <c r="J37" s="183"/>
      <c r="K37" s="419" t="str">
        <f t="shared" ref="K37:K38" si="163">IF($E37="","",IF(OR($E37="2추",  $E37="1추", $E37="본예산"), "금액입력", "-"))</f>
        <v/>
      </c>
      <c r="L37" s="419" t="str">
        <f t="shared" ref="L37:L38" si="164">IF($E37="", "", IF($E37="2추","금액입력", "-"))</f>
        <v/>
      </c>
      <c r="M37" s="421" t="str">
        <f t="shared" si="148"/>
        <v/>
      </c>
      <c r="N37" s="420"/>
      <c r="O37" s="421">
        <f t="shared" si="149"/>
        <v>0</v>
      </c>
      <c r="P37" s="422"/>
      <c r="Q37" s="423">
        <f t="shared" si="150"/>
        <v>0</v>
      </c>
      <c r="R37" s="133" t="str">
        <f t="shared" si="151"/>
        <v>X</v>
      </c>
      <c r="S37" s="198"/>
      <c r="T37" s="193"/>
      <c r="U37" s="185"/>
      <c r="V37" s="172"/>
      <c r="W37" s="133" t="str">
        <f t="shared" si="152"/>
        <v/>
      </c>
      <c r="X37" s="185"/>
      <c r="Y37" s="44"/>
      <c r="Z37" s="468" t="str">
        <f t="shared" si="153"/>
        <v/>
      </c>
      <c r="AA37" s="468" t="str">
        <f t="shared" si="154"/>
        <v/>
      </c>
      <c r="AB37" s="336" t="str">
        <f t="shared" si="155"/>
        <v/>
      </c>
      <c r="AC37" s="45"/>
      <c r="AD37" s="468" t="str">
        <f t="shared" si="156"/>
        <v/>
      </c>
      <c r="AE37" s="468" t="str">
        <f t="shared" si="157"/>
        <v/>
      </c>
      <c r="AF37" s="336" t="str">
        <f t="shared" si="158"/>
        <v/>
      </c>
      <c r="AG37" s="45"/>
      <c r="AH37" s="336" t="str">
        <f>IF(AK37="","",IF($W37="도비","-",CONCATENATE(AK37,"-",COUNTIF(AK$7:$AK37,AK37))))</f>
        <v/>
      </c>
      <c r="AI37" s="336" t="str">
        <f t="shared" si="159"/>
        <v/>
      </c>
      <c r="AJ37" s="45"/>
      <c r="AK37" s="336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32" t="str">
        <f>IF($AH37="","",IF($AH37="-",0, SUMIFS('5. 기출'!$AB$7:$AB$2012,'5. 기출'!$AJ$7:$AJ$2012,$AH37)))</f>
        <v/>
      </c>
      <c r="AN37" s="339" t="str">
        <f>IF($AH37="","",IF($AH37="-", 0, COUNTIF('5. 기출'!$AJ$7:$AJ$2012,$AH37)))</f>
        <v/>
      </c>
      <c r="AO37" s="336" t="str">
        <f t="shared" si="160"/>
        <v/>
      </c>
      <c r="AP37" s="46"/>
      <c r="AQ37" s="432" t="str">
        <f>IF($AH37="","",IF($AH37="-",0, SUMIFS('5. 기출'!$AF$7:$AF$2012,'5. 기출'!$AJ$7:$AJ$2012,$AH37)))</f>
        <v/>
      </c>
      <c r="AR37" s="339" t="str">
        <f>IF($AH37="","",IF($AH37="-", 0, COUNTIF('5. 기출'!$AJ$7:$AJ$2012,$AH37)))</f>
        <v/>
      </c>
      <c r="AS37" s="336" t="str">
        <f t="shared" si="161"/>
        <v/>
      </c>
    </row>
    <row r="38" spans="1:45" s="19" customFormat="1" ht="80.099999999999994" customHeight="1">
      <c r="A38" s="126" t="str">
        <f>IF(D38="","",COUNTA($C$7:C38)-COUNTBLANK($C$7:C38)+8)</f>
        <v/>
      </c>
      <c r="B38" s="127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27" t="str">
        <f>IF(D38="","",IF(OR(D38="교육지원과",D38="총무과",D38="인사과"),"직접입력",VLOOKUP(D38,구분표!$A$3:$C$258,3,)))</f>
        <v/>
      </c>
      <c r="D38" s="194"/>
      <c r="E38" s="181"/>
      <c r="F38" s="350" t="str">
        <f t="shared" si="162"/>
        <v/>
      </c>
      <c r="G38" s="350" t="str">
        <f t="shared" si="162"/>
        <v/>
      </c>
      <c r="H38" s="182"/>
      <c r="I38" s="203" t="str">
        <f>IF(H38="","",VLOOKUP($H38,구분표!$O$3:$P$168,2,FALSE))</f>
        <v/>
      </c>
      <c r="J38" s="183"/>
      <c r="K38" s="419" t="str">
        <f t="shared" si="163"/>
        <v/>
      </c>
      <c r="L38" s="419" t="str">
        <f t="shared" si="164"/>
        <v/>
      </c>
      <c r="M38" s="421" t="str">
        <f t="shared" si="148"/>
        <v/>
      </c>
      <c r="N38" s="420"/>
      <c r="O38" s="421">
        <f t="shared" si="149"/>
        <v>0</v>
      </c>
      <c r="P38" s="422"/>
      <c r="Q38" s="423">
        <f t="shared" si="150"/>
        <v>0</v>
      </c>
      <c r="R38" s="133" t="str">
        <f t="shared" si="151"/>
        <v>X</v>
      </c>
      <c r="S38" s="198"/>
      <c r="T38" s="193"/>
      <c r="U38" s="185"/>
      <c r="V38" s="172"/>
      <c r="W38" s="133" t="str">
        <f t="shared" si="152"/>
        <v/>
      </c>
      <c r="X38" s="185"/>
      <c r="Y38" s="44"/>
      <c r="Z38" s="468" t="str">
        <f t="shared" si="153"/>
        <v/>
      </c>
      <c r="AA38" s="468" t="str">
        <f t="shared" si="154"/>
        <v/>
      </c>
      <c r="AB38" s="336" t="str">
        <f t="shared" si="155"/>
        <v/>
      </c>
      <c r="AC38" s="45"/>
      <c r="AD38" s="468" t="str">
        <f t="shared" si="156"/>
        <v/>
      </c>
      <c r="AE38" s="468" t="str">
        <f t="shared" si="157"/>
        <v/>
      </c>
      <c r="AF38" s="336" t="str">
        <f t="shared" si="158"/>
        <v/>
      </c>
      <c r="AG38" s="45"/>
      <c r="AH38" s="336" t="str">
        <f>IF(AK38="","",IF($W38="도비","-",CONCATENATE(AK38,"-",COUNTIF(AK$7:$AK38,AK38))))</f>
        <v/>
      </c>
      <c r="AI38" s="336" t="str">
        <f t="shared" si="159"/>
        <v/>
      </c>
      <c r="AJ38" s="45"/>
      <c r="AK38" s="336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32" t="str">
        <f>IF($AH38="","",IF($AH38="-",0, SUMIFS('5. 기출'!$AB$7:$AB$2012,'5. 기출'!$AJ$7:$AJ$2012,$AH38)))</f>
        <v/>
      </c>
      <c r="AN38" s="339" t="str">
        <f>IF($AH38="","",IF($AH38="-", 0, COUNTIF('5. 기출'!$AJ$7:$AJ$2012,$AH38)))</f>
        <v/>
      </c>
      <c r="AO38" s="336" t="str">
        <f t="shared" si="160"/>
        <v/>
      </c>
      <c r="AP38" s="46"/>
      <c r="AQ38" s="432" t="str">
        <f>IF($AH38="","",IF($AH38="-",0, SUMIFS('5. 기출'!$AF$7:$AF$2012,'5. 기출'!$AJ$7:$AJ$2012,$AH38)))</f>
        <v/>
      </c>
      <c r="AR38" s="339" t="str">
        <f>IF($AH38="","",IF($AH38="-", 0, COUNTIF('5. 기출'!$AJ$7:$AJ$2012,$AH38)))</f>
        <v/>
      </c>
      <c r="AS38" s="336" t="str">
        <f t="shared" si="161"/>
        <v/>
      </c>
    </row>
    <row r="39" spans="1:45" ht="60" customHeight="1">
      <c r="A39" s="141"/>
      <c r="B39" s="886" t="s">
        <v>782</v>
      </c>
      <c r="C39" s="886"/>
      <c r="D39" s="886"/>
      <c r="E39" s="886"/>
      <c r="F39" s="886"/>
      <c r="G39" s="886"/>
      <c r="H39" s="78"/>
      <c r="I39" s="78"/>
      <c r="J39" s="313" t="str">
        <f>SUBTOTAL(3,J40:J42)&amp;"건"</f>
        <v>0건</v>
      </c>
      <c r="K39" s="418">
        <f t="shared" ref="K39:Q39" si="165">SUBTOTAL(9,K40:K42)</f>
        <v>0</v>
      </c>
      <c r="L39" s="418">
        <f t="shared" si="165"/>
        <v>0</v>
      </c>
      <c r="M39" s="418">
        <f t="shared" si="165"/>
        <v>0</v>
      </c>
      <c r="N39" s="418">
        <f t="shared" si="165"/>
        <v>0</v>
      </c>
      <c r="O39" s="418">
        <f t="shared" si="165"/>
        <v>0</v>
      </c>
      <c r="P39" s="418">
        <f t="shared" si="165"/>
        <v>0</v>
      </c>
      <c r="Q39" s="418">
        <f t="shared" si="165"/>
        <v>0</v>
      </c>
      <c r="R39" s="77"/>
      <c r="S39" s="77"/>
      <c r="T39" s="77"/>
      <c r="U39" s="77"/>
      <c r="V39" s="77"/>
      <c r="W39" s="79"/>
      <c r="X39" s="79"/>
      <c r="Y39" s="42"/>
      <c r="Z39" s="418">
        <f>SUBTOTAL(9,Z40:Z42)</f>
        <v>0</v>
      </c>
      <c r="AA39" s="418">
        <f>SUBTOTAL(9,AA40:AA42)</f>
        <v>0</v>
      </c>
      <c r="AB39" s="511" t="str">
        <f>IF(COUNTIF(AB40:AB42,"@@")&gt;0,"@@","OK")</f>
        <v>OK</v>
      </c>
      <c r="AC39" s="43"/>
      <c r="AD39" s="418">
        <f>SUBTOTAL(9,AD40:AD42)</f>
        <v>0</v>
      </c>
      <c r="AE39" s="418">
        <f>SUBTOTAL(9,AE40:AE42)</f>
        <v>0</v>
      </c>
      <c r="AF39" s="511" t="str">
        <f>IF(COUNTIF(AF40:AF42,"@@")&gt;0,"@@","OK")</f>
        <v>OK</v>
      </c>
      <c r="AG39" s="43"/>
      <c r="AH39" s="141"/>
      <c r="AI39" s="141"/>
      <c r="AJ39" s="43"/>
      <c r="AK39" s="141"/>
      <c r="AL39" s="43"/>
      <c r="AM39" s="418">
        <f>SUBTOTAL(9,AM40:AM42)</f>
        <v>0</v>
      </c>
      <c r="AN39" s="418">
        <f>SUBTOTAL(9,AN40:AN42)</f>
        <v>0</v>
      </c>
      <c r="AO39" s="511" t="str">
        <f>IF(COUNTIF(AO40:AO42,"@@")&gt;0,"@@","OK")</f>
        <v>OK</v>
      </c>
      <c r="AP39" s="43"/>
      <c r="AQ39" s="418">
        <f t="shared" ref="AQ39" si="166">SUBTOTAL(9,AQ40:AQ42)</f>
        <v>0</v>
      </c>
      <c r="AR39" s="418">
        <f t="shared" ref="AR39" si="167">SUBTOTAL(9,AR40:AR42)</f>
        <v>0</v>
      </c>
      <c r="AS39" s="511" t="str">
        <f>IF(COUNTIF(AS40:AS42,"@@")&gt;0,"@@","OK")</f>
        <v>OK</v>
      </c>
    </row>
    <row r="40" spans="1:45" s="19" customFormat="1" ht="80.099999999999994" customHeight="1">
      <c r="A40" s="126" t="str">
        <f>IF(D40="","",COUNTA($C$7:C40)-COUNTBLANK($C$7:C40)+9)</f>
        <v/>
      </c>
      <c r="B40" s="127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27" t="str">
        <f>IF(D40="","",IF(OR(D40="교육지원과",D40="총무과",D40="인사과"),"직접입력",VLOOKUP(D40,구분표!$A$3:$C$258,3,)))</f>
        <v/>
      </c>
      <c r="D40" s="194"/>
      <c r="E40" s="181"/>
      <c r="F40" s="350" t="str">
        <f>IF($E40="","",IF($E40="2추","직접입력","-"))</f>
        <v/>
      </c>
      <c r="G40" s="350" t="str">
        <f>IF($E40="","",IF($E40="2추","직접입력","-"))</f>
        <v/>
      </c>
      <c r="H40" s="182"/>
      <c r="I40" s="203" t="str">
        <f>IF(H40="","",VLOOKUP($H40,구분표!$O$3:$P$168,2,FALSE))</f>
        <v/>
      </c>
      <c r="J40" s="183"/>
      <c r="K40" s="419" t="str">
        <f>IF($E40="","",IF(OR($E40="2추",  $E40="1추", $E40="본예산"), "금액입력", "-"))</f>
        <v/>
      </c>
      <c r="L40" s="419" t="str">
        <f>IF($E40="", "", IF($E40="2추","금액입력", "-"))</f>
        <v/>
      </c>
      <c r="M40" s="421" t="str">
        <f t="shared" ref="M40:M42" si="168">IF($E40="","",SUM(K40:L40))</f>
        <v/>
      </c>
      <c r="N40" s="420"/>
      <c r="O40" s="421">
        <f t="shared" ref="O40:O42" si="169">SUM(M40:N40)</f>
        <v>0</v>
      </c>
      <c r="P40" s="422"/>
      <c r="Q40" s="423">
        <f t="shared" ref="Q40:Q42" si="170">SUM(M40,P40)</f>
        <v>0</v>
      </c>
      <c r="R40" s="133" t="str">
        <f t="shared" ref="R40:R42" si="171">IF(AND((O40=0),(Q40&gt;0)),"O",IF(AND((N40&lt;0),(O40-Q40&lt;0)),"O","X"))</f>
        <v>X</v>
      </c>
      <c r="S40" s="198"/>
      <c r="T40" s="193"/>
      <c r="U40" s="185"/>
      <c r="V40" s="172"/>
      <c r="W40" s="133" t="str">
        <f t="shared" ref="W40:W42" si="172">IF($H40="","",IF(OR($H40="511-01", $H40="511-02", $H40="511-03", $H40="311-02", $H40="311-04", $H40="321-01"),"국도비","도비"))</f>
        <v/>
      </c>
      <c r="X40" s="185"/>
      <c r="Y40" s="44"/>
      <c r="Z40" s="468" t="str">
        <f t="shared" ref="Z40:Z42" si="173">IF($W40="", "", IF($W40="국도비",$N40, 0))</f>
        <v/>
      </c>
      <c r="AA40" s="468" t="str">
        <f t="shared" ref="AA40:AA42" si="174">IF($W40="", "", IF($W40="도비",$N40, 0))</f>
        <v/>
      </c>
      <c r="AB40" s="336" t="str">
        <f t="shared" ref="AB40:AB42" si="175">IF($W40="", "", IF($N40=SUM($Z40:$AA40),"OK","@@"))</f>
        <v/>
      </c>
      <c r="AC40" s="45"/>
      <c r="AD40" s="468" t="str">
        <f t="shared" ref="AD40:AD42" si="176">IF($W40="", "", IF($W40="국도비",$P40, 0))</f>
        <v/>
      </c>
      <c r="AE40" s="468" t="str">
        <f t="shared" ref="AE40:AE42" si="177">IF($W40="", "", IF($W40="도비",$P40, 0))</f>
        <v/>
      </c>
      <c r="AF40" s="336" t="str">
        <f t="shared" ref="AF40:AF42" si="178">IF($W40="", "", IF($P40=SUM($AD40:$AE40),"OK","@@"))</f>
        <v/>
      </c>
      <c r="AG40" s="45"/>
      <c r="AH40" s="336" t="str">
        <f>IF(AK40="","",IF($W40="도비","-",CONCATENATE(AK40,"-",COUNTIF(AK$7:$AK40,AK40))))</f>
        <v/>
      </c>
      <c r="AI40" s="336" t="str">
        <f t="shared" ref="AI40:AI42" si="179">IF($H40="","",IF($H40="511-01","국비",IF($H40="511-02","균특",IF($H40="511-03","기금",IF($H40="311-02","특교",IF($H40="311-04","소교",IF($H40="321-01","소멸","도비")))))))</f>
        <v/>
      </c>
      <c r="AJ40" s="45"/>
      <c r="AK40" s="336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32" t="str">
        <f>IF($AH40="","",IF($AH40="-",0, SUMIFS('5. 기출'!$AB$7:$AB$2012,'5. 기출'!$AJ$7:$AJ$2012,$AH40)))</f>
        <v/>
      </c>
      <c r="AN40" s="339" t="str">
        <f>IF($AH40="","",IF($AH40="-", 0, COUNTIF('5. 기출'!$AJ$7:$AJ$2012,$AH40)))</f>
        <v/>
      </c>
      <c r="AO40" s="336" t="str">
        <f t="shared" ref="AO40:AO42" si="180">IF($AH40="", "", IF($Z40=$AM40,"OK","@@"))</f>
        <v/>
      </c>
      <c r="AP40" s="46"/>
      <c r="AQ40" s="432" t="str">
        <f>IF($AH40="","",IF($AH40="-",0, SUMIFS('5. 기출'!$AF$7:$AF$2012,'5. 기출'!$AJ$7:$AJ$2012,$AH40)))</f>
        <v/>
      </c>
      <c r="AR40" s="339" t="str">
        <f>IF($AH40="","",IF($AH40="-", 0, COUNTIF('5. 기출'!$AJ$7:$AJ$2012,$AH40)))</f>
        <v/>
      </c>
      <c r="AS40" s="336" t="str">
        <f t="shared" ref="AS40:AS42" si="181">IF($AH40="", "", IF($AD40=$AQ40,"OK","@@"))</f>
        <v/>
      </c>
    </row>
    <row r="41" spans="1:45" s="19" customFormat="1" ht="80.099999999999994" customHeight="1">
      <c r="A41" s="126" t="str">
        <f>IF(D41="","",COUNTA($C$7:C41)-COUNTBLANK($C$7:C41)+9)</f>
        <v/>
      </c>
      <c r="B41" s="127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27" t="str">
        <f>IF(D41="","",IF(OR(D41="교육지원과",D41="총무과",D41="인사과"),"직접입력",VLOOKUP(D41,구분표!$A$3:$C$258,3,)))</f>
        <v/>
      </c>
      <c r="D41" s="194"/>
      <c r="E41" s="181"/>
      <c r="F41" s="350" t="str">
        <f t="shared" ref="F41:G42" si="182">IF($E41="","",IF($E41="2추","직접입력","-"))</f>
        <v/>
      </c>
      <c r="G41" s="350" t="str">
        <f t="shared" si="182"/>
        <v/>
      </c>
      <c r="H41" s="182"/>
      <c r="I41" s="203" t="str">
        <f>IF(H41="","",VLOOKUP($H41,구분표!$O$3:$P$168,2,FALSE))</f>
        <v/>
      </c>
      <c r="J41" s="183"/>
      <c r="K41" s="419" t="str">
        <f t="shared" ref="K41:K42" si="183">IF($E41="","",IF(OR($E41="2추",  $E41="1추", $E41="본예산"), "금액입력", "-"))</f>
        <v/>
      </c>
      <c r="L41" s="419" t="str">
        <f t="shared" ref="L41:L42" si="184">IF($E41="", "", IF($E41="2추","금액입력", "-"))</f>
        <v/>
      </c>
      <c r="M41" s="421" t="str">
        <f t="shared" si="168"/>
        <v/>
      </c>
      <c r="N41" s="420"/>
      <c r="O41" s="421">
        <f t="shared" si="169"/>
        <v>0</v>
      </c>
      <c r="P41" s="422"/>
      <c r="Q41" s="423">
        <f t="shared" si="170"/>
        <v>0</v>
      </c>
      <c r="R41" s="133" t="str">
        <f t="shared" si="171"/>
        <v>X</v>
      </c>
      <c r="S41" s="198"/>
      <c r="T41" s="193"/>
      <c r="U41" s="185"/>
      <c r="V41" s="172"/>
      <c r="W41" s="133" t="str">
        <f t="shared" si="172"/>
        <v/>
      </c>
      <c r="X41" s="185"/>
      <c r="Y41" s="44"/>
      <c r="Z41" s="468" t="str">
        <f t="shared" si="173"/>
        <v/>
      </c>
      <c r="AA41" s="468" t="str">
        <f t="shared" si="174"/>
        <v/>
      </c>
      <c r="AB41" s="336" t="str">
        <f t="shared" si="175"/>
        <v/>
      </c>
      <c r="AC41" s="45"/>
      <c r="AD41" s="468" t="str">
        <f t="shared" si="176"/>
        <v/>
      </c>
      <c r="AE41" s="468" t="str">
        <f t="shared" si="177"/>
        <v/>
      </c>
      <c r="AF41" s="336" t="str">
        <f t="shared" si="178"/>
        <v/>
      </c>
      <c r="AG41" s="45"/>
      <c r="AH41" s="336" t="str">
        <f>IF(AK41="","",IF($W41="도비","-",CONCATENATE(AK41,"-",COUNTIF(AK$7:$AK41,AK41))))</f>
        <v/>
      </c>
      <c r="AI41" s="336" t="str">
        <f t="shared" si="179"/>
        <v/>
      </c>
      <c r="AJ41" s="45"/>
      <c r="AK41" s="336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32" t="str">
        <f>IF($AH41="","",IF($AH41="-",0, SUMIFS('5. 기출'!$AB$7:$AB$2012,'5. 기출'!$AJ$7:$AJ$2012,$AH41)))</f>
        <v/>
      </c>
      <c r="AN41" s="339" t="str">
        <f>IF($AH41="","",IF($AH41="-", 0, COUNTIF('5. 기출'!$AJ$7:$AJ$2012,$AH41)))</f>
        <v/>
      </c>
      <c r="AO41" s="336" t="str">
        <f t="shared" si="180"/>
        <v/>
      </c>
      <c r="AP41" s="46"/>
      <c r="AQ41" s="432" t="str">
        <f>IF($AH41="","",IF($AH41="-",0, SUMIFS('5. 기출'!$AF$7:$AF$2012,'5. 기출'!$AJ$7:$AJ$2012,$AH41)))</f>
        <v/>
      </c>
      <c r="AR41" s="339" t="str">
        <f>IF($AH41="","",IF($AH41="-", 0, COUNTIF('5. 기출'!$AJ$7:$AJ$2012,$AH41)))</f>
        <v/>
      </c>
      <c r="AS41" s="336" t="str">
        <f t="shared" si="181"/>
        <v/>
      </c>
    </row>
    <row r="42" spans="1:45" s="19" customFormat="1" ht="80.099999999999994" customHeight="1">
      <c r="A42" s="126" t="str">
        <f>IF(D42="","",COUNTA($C$7:C42)-COUNTBLANK($C$7:C42)+9)</f>
        <v/>
      </c>
      <c r="B42" s="127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27" t="str">
        <f>IF(D42="","",IF(OR(D42="교육지원과",D42="총무과",D42="인사과"),"직접입력",VLOOKUP(D42,구분표!$A$3:$C$258,3,)))</f>
        <v/>
      </c>
      <c r="D42" s="194"/>
      <c r="E42" s="181"/>
      <c r="F42" s="350" t="str">
        <f t="shared" si="182"/>
        <v/>
      </c>
      <c r="G42" s="350" t="str">
        <f t="shared" si="182"/>
        <v/>
      </c>
      <c r="H42" s="182"/>
      <c r="I42" s="203" t="str">
        <f>IF(H42="","",VLOOKUP($H42,구분표!$O$3:$P$168,2,FALSE))</f>
        <v/>
      </c>
      <c r="J42" s="183"/>
      <c r="K42" s="419" t="str">
        <f t="shared" si="183"/>
        <v/>
      </c>
      <c r="L42" s="419" t="str">
        <f t="shared" si="184"/>
        <v/>
      </c>
      <c r="M42" s="421" t="str">
        <f t="shared" si="168"/>
        <v/>
      </c>
      <c r="N42" s="420"/>
      <c r="O42" s="421">
        <f t="shared" si="169"/>
        <v>0</v>
      </c>
      <c r="P42" s="422"/>
      <c r="Q42" s="423">
        <f t="shared" si="170"/>
        <v>0</v>
      </c>
      <c r="R42" s="133" t="str">
        <f t="shared" si="171"/>
        <v>X</v>
      </c>
      <c r="S42" s="198"/>
      <c r="T42" s="193"/>
      <c r="U42" s="185"/>
      <c r="V42" s="172"/>
      <c r="W42" s="133" t="str">
        <f t="shared" si="172"/>
        <v/>
      </c>
      <c r="X42" s="185"/>
      <c r="Y42" s="44"/>
      <c r="Z42" s="468" t="str">
        <f t="shared" si="173"/>
        <v/>
      </c>
      <c r="AA42" s="468" t="str">
        <f t="shared" si="174"/>
        <v/>
      </c>
      <c r="AB42" s="336" t="str">
        <f t="shared" si="175"/>
        <v/>
      </c>
      <c r="AC42" s="45"/>
      <c r="AD42" s="468" t="str">
        <f t="shared" si="176"/>
        <v/>
      </c>
      <c r="AE42" s="468" t="str">
        <f t="shared" si="177"/>
        <v/>
      </c>
      <c r="AF42" s="336" t="str">
        <f t="shared" si="178"/>
        <v/>
      </c>
      <c r="AG42" s="45"/>
      <c r="AH42" s="336" t="str">
        <f>IF(AK42="","",IF($W42="도비","-",CONCATENATE(AK42,"-",COUNTIF(AK$7:$AK42,AK42))))</f>
        <v/>
      </c>
      <c r="AI42" s="336" t="str">
        <f t="shared" si="179"/>
        <v/>
      </c>
      <c r="AJ42" s="45"/>
      <c r="AK42" s="336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32" t="str">
        <f>IF($AH42="","",IF($AH42="-",0, SUMIFS('5. 기출'!$AB$7:$AB$2012,'5. 기출'!$AJ$7:$AJ$2012,$AH42)))</f>
        <v/>
      </c>
      <c r="AN42" s="339" t="str">
        <f>IF($AH42="","",IF($AH42="-", 0, COUNTIF('5. 기출'!$AJ$7:$AJ$2012,$AH42)))</f>
        <v/>
      </c>
      <c r="AO42" s="336" t="str">
        <f t="shared" si="180"/>
        <v/>
      </c>
      <c r="AP42" s="46"/>
      <c r="AQ42" s="432" t="str">
        <f>IF($AH42="","",IF($AH42="-",0, SUMIFS('5. 기출'!$AF$7:$AF$2012,'5. 기출'!$AJ$7:$AJ$2012,$AH42)))</f>
        <v/>
      </c>
      <c r="AR42" s="339" t="str">
        <f>IF($AH42="","",IF($AH42="-", 0, COUNTIF('5. 기출'!$AJ$7:$AJ$2012,$AH42)))</f>
        <v/>
      </c>
      <c r="AS42" s="336" t="str">
        <f t="shared" si="181"/>
        <v/>
      </c>
    </row>
    <row r="43" spans="1:45" ht="60" customHeight="1">
      <c r="A43" s="141"/>
      <c r="B43" s="886" t="s">
        <v>783</v>
      </c>
      <c r="C43" s="886"/>
      <c r="D43" s="886"/>
      <c r="E43" s="886"/>
      <c r="F43" s="886"/>
      <c r="G43" s="886"/>
      <c r="H43" s="78"/>
      <c r="I43" s="78"/>
      <c r="J43" s="313" t="str">
        <f>SUBTOTAL(3,J44:J46)&amp;"건"</f>
        <v>0건</v>
      </c>
      <c r="K43" s="418">
        <f t="shared" ref="K43:Q43" si="185">SUBTOTAL(9,K44:K46)</f>
        <v>0</v>
      </c>
      <c r="L43" s="418">
        <f t="shared" si="185"/>
        <v>0</v>
      </c>
      <c r="M43" s="418">
        <f t="shared" si="185"/>
        <v>0</v>
      </c>
      <c r="N43" s="418">
        <f t="shared" si="185"/>
        <v>0</v>
      </c>
      <c r="O43" s="418">
        <f t="shared" si="185"/>
        <v>0</v>
      </c>
      <c r="P43" s="418">
        <f t="shared" si="185"/>
        <v>0</v>
      </c>
      <c r="Q43" s="418">
        <f t="shared" si="185"/>
        <v>0</v>
      </c>
      <c r="R43" s="77"/>
      <c r="S43" s="77"/>
      <c r="T43" s="77"/>
      <c r="U43" s="77"/>
      <c r="V43" s="77"/>
      <c r="W43" s="79"/>
      <c r="X43" s="79"/>
      <c r="Y43" s="42"/>
      <c r="Z43" s="418">
        <f>SUBTOTAL(9,Z44:Z46)</f>
        <v>0</v>
      </c>
      <c r="AA43" s="418">
        <f>SUBTOTAL(9,AA44:AA46)</f>
        <v>0</v>
      </c>
      <c r="AB43" s="511" t="str">
        <f>IF(COUNTIF(AB44:AB46,"@@")&gt;0,"@@","OK")</f>
        <v>OK</v>
      </c>
      <c r="AC43" s="43"/>
      <c r="AD43" s="418">
        <f>SUBTOTAL(9,AD44:AD46)</f>
        <v>0</v>
      </c>
      <c r="AE43" s="418">
        <f>SUBTOTAL(9,AE44:AE46)</f>
        <v>0</v>
      </c>
      <c r="AF43" s="511" t="str">
        <f>IF(COUNTIF(AF44:AF46,"@@")&gt;0,"@@","OK")</f>
        <v>OK</v>
      </c>
      <c r="AG43" s="43"/>
      <c r="AH43" s="141"/>
      <c r="AI43" s="141"/>
      <c r="AJ43" s="43"/>
      <c r="AK43" s="141"/>
      <c r="AL43" s="43"/>
      <c r="AM43" s="418">
        <f>SUBTOTAL(9,AM44:AM46)</f>
        <v>0</v>
      </c>
      <c r="AN43" s="418">
        <f>SUBTOTAL(9,AN44:AN46)</f>
        <v>0</v>
      </c>
      <c r="AO43" s="511" t="str">
        <f>IF(COUNTIF(AO44:AO46,"@@")&gt;0,"@@","OK")</f>
        <v>OK</v>
      </c>
      <c r="AP43" s="43"/>
      <c r="AQ43" s="418">
        <f t="shared" ref="AQ43" si="186">SUBTOTAL(9,AQ44:AQ46)</f>
        <v>0</v>
      </c>
      <c r="AR43" s="418">
        <f t="shared" ref="AR43" si="187">SUBTOTAL(9,AR44:AR46)</f>
        <v>0</v>
      </c>
      <c r="AS43" s="511" t="str">
        <f>IF(COUNTIF(AS44:AS46,"@@")&gt;0,"@@","OK")</f>
        <v>OK</v>
      </c>
    </row>
    <row r="44" spans="1:45" s="19" customFormat="1" ht="80.099999999999994" customHeight="1">
      <c r="A44" s="126" t="str">
        <f>IF(D44="","",COUNTA($C$7:C44)-COUNTBLANK($C$7:C44)+10)</f>
        <v/>
      </c>
      <c r="B44" s="127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27" t="str">
        <f>IF(D44="","",IF(OR(D44="교육지원과",D44="총무과",D44="인사과"),"직접입력",VLOOKUP(D44,구분표!$A$3:$C$258,3,)))</f>
        <v/>
      </c>
      <c r="D44" s="194"/>
      <c r="E44" s="181"/>
      <c r="F44" s="350" t="str">
        <f>IF($E44="","",IF($E44="2추","직접입력","-"))</f>
        <v/>
      </c>
      <c r="G44" s="350" t="str">
        <f>IF($E44="","",IF($E44="2추","직접입력","-"))</f>
        <v/>
      </c>
      <c r="H44" s="182"/>
      <c r="I44" s="203" t="str">
        <f>IF(H44="","",VLOOKUP($H44,구분표!$O$3:$P$168,2,FALSE))</f>
        <v/>
      </c>
      <c r="J44" s="183"/>
      <c r="K44" s="419" t="str">
        <f>IF($E44="","",IF(OR($E44="2추",  $E44="1추", $E44="본예산"), "금액입력", "-"))</f>
        <v/>
      </c>
      <c r="L44" s="419" t="str">
        <f>IF($E44="", "", IF($E44="2추","금액입력", "-"))</f>
        <v/>
      </c>
      <c r="M44" s="421" t="str">
        <f t="shared" ref="M44:M46" si="188">IF($E44="","",SUM(K44:L44))</f>
        <v/>
      </c>
      <c r="N44" s="420"/>
      <c r="O44" s="421">
        <f t="shared" ref="O44:O46" si="189">SUM(M44:N44)</f>
        <v>0</v>
      </c>
      <c r="P44" s="422"/>
      <c r="Q44" s="423">
        <f t="shared" ref="Q44:Q46" si="190">SUM(M44,P44)</f>
        <v>0</v>
      </c>
      <c r="R44" s="133" t="str">
        <f t="shared" ref="R44:R46" si="191">IF(AND((O44=0),(Q44&gt;0)),"O",IF(AND((N44&lt;0),(O44-Q44&lt;0)),"O","X"))</f>
        <v>X</v>
      </c>
      <c r="S44" s="198"/>
      <c r="T44" s="193"/>
      <c r="U44" s="185"/>
      <c r="V44" s="172"/>
      <c r="W44" s="133" t="str">
        <f t="shared" ref="W44:W46" si="192">IF($H44="","",IF(OR($H44="511-01", $H44="511-02", $H44="511-03", $H44="311-02", $H44="311-04", $H44="321-01"),"국도비","도비"))</f>
        <v/>
      </c>
      <c r="X44" s="185"/>
      <c r="Y44" s="44"/>
      <c r="Z44" s="468" t="str">
        <f t="shared" ref="Z44:Z46" si="193">IF($W44="", "", IF($W44="국도비",$N44, 0))</f>
        <v/>
      </c>
      <c r="AA44" s="468" t="str">
        <f t="shared" ref="AA44:AA46" si="194">IF($W44="", "", IF($W44="도비",$N44, 0))</f>
        <v/>
      </c>
      <c r="AB44" s="336" t="str">
        <f t="shared" ref="AB44:AB46" si="195">IF($W44="", "", IF($N44=SUM($Z44:$AA44),"OK","@@"))</f>
        <v/>
      </c>
      <c r="AC44" s="45"/>
      <c r="AD44" s="468" t="str">
        <f t="shared" ref="AD44:AD46" si="196">IF($W44="", "", IF($W44="국도비",$P44, 0))</f>
        <v/>
      </c>
      <c r="AE44" s="468" t="str">
        <f t="shared" ref="AE44:AE46" si="197">IF($W44="", "", IF($W44="도비",$P44, 0))</f>
        <v/>
      </c>
      <c r="AF44" s="336" t="str">
        <f t="shared" ref="AF44:AF46" si="198">IF($W44="", "", IF($P44=SUM($AD44:$AE44),"OK","@@"))</f>
        <v/>
      </c>
      <c r="AG44" s="45"/>
      <c r="AH44" s="336" t="str">
        <f>IF(AK44="","",IF($W44="도비","-",CONCATENATE(AK44,"-",COUNTIF(AK$7:$AK44,AK44))))</f>
        <v/>
      </c>
      <c r="AI44" s="336" t="str">
        <f t="shared" ref="AI44:AI46" si="199">IF($H44="","",IF($H44="511-01","국비",IF($H44="511-02","균특",IF($H44="511-03","기금",IF($H44="311-02","특교",IF($H44="311-04","소교",IF($H44="321-01","소멸","도비")))))))</f>
        <v/>
      </c>
      <c r="AJ44" s="45"/>
      <c r="AK44" s="336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32" t="str">
        <f>IF($AH44="","",IF($AH44="-",0, SUMIFS('5. 기출'!$AB$7:$AB$2012,'5. 기출'!$AJ$7:$AJ$2012,$AH44)))</f>
        <v/>
      </c>
      <c r="AN44" s="339" t="str">
        <f>IF($AH44="","",IF($AH44="-", 0, COUNTIF('5. 기출'!$AJ$7:$AJ$2012,$AH44)))</f>
        <v/>
      </c>
      <c r="AO44" s="336" t="str">
        <f t="shared" ref="AO44:AO46" si="200">IF($AH44="", "", IF($Z44=$AM44,"OK","@@"))</f>
        <v/>
      </c>
      <c r="AP44" s="46"/>
      <c r="AQ44" s="432" t="str">
        <f>IF($AH44="","",IF($AH44="-",0, SUMIFS('5. 기출'!$AF$7:$AF$2012,'5. 기출'!$AJ$7:$AJ$2012,$AH44)))</f>
        <v/>
      </c>
      <c r="AR44" s="339" t="str">
        <f>IF($AH44="","",IF($AH44="-", 0, COUNTIF('5. 기출'!$AJ$7:$AJ$2012,$AH44)))</f>
        <v/>
      </c>
      <c r="AS44" s="336" t="str">
        <f t="shared" ref="AS44:AS46" si="201">IF($AH44="", "", IF($AD44=$AQ44,"OK","@@"))</f>
        <v/>
      </c>
    </row>
    <row r="45" spans="1:45" s="19" customFormat="1" ht="80.099999999999994" customHeight="1">
      <c r="A45" s="126" t="str">
        <f>IF(D45="","",COUNTA($C$7:C45)-COUNTBLANK($C$7:C45)+10)</f>
        <v/>
      </c>
      <c r="B45" s="127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27" t="str">
        <f>IF(D45="","",IF(OR(D45="교육지원과",D45="총무과",D45="인사과"),"직접입력",VLOOKUP(D45,구분표!$A$3:$C$258,3,)))</f>
        <v/>
      </c>
      <c r="D45" s="194"/>
      <c r="E45" s="181"/>
      <c r="F45" s="350" t="str">
        <f t="shared" ref="F45:G46" si="202">IF($E45="","",IF($E45="2추","직접입력","-"))</f>
        <v/>
      </c>
      <c r="G45" s="350" t="str">
        <f t="shared" si="202"/>
        <v/>
      </c>
      <c r="H45" s="182"/>
      <c r="I45" s="203" t="str">
        <f>IF(H45="","",VLOOKUP($H45,구분표!$O$3:$P$168,2,FALSE))</f>
        <v/>
      </c>
      <c r="J45" s="183"/>
      <c r="K45" s="419" t="str">
        <f t="shared" ref="K45:K46" si="203">IF($E45="","",IF(OR($E45="2추",  $E45="1추", $E45="본예산"), "금액입력", "-"))</f>
        <v/>
      </c>
      <c r="L45" s="419" t="str">
        <f t="shared" ref="L45:L46" si="204">IF($E45="", "", IF($E45="2추","금액입력", "-"))</f>
        <v/>
      </c>
      <c r="M45" s="421" t="str">
        <f t="shared" si="188"/>
        <v/>
      </c>
      <c r="N45" s="420"/>
      <c r="O45" s="421">
        <f t="shared" si="189"/>
        <v>0</v>
      </c>
      <c r="P45" s="422"/>
      <c r="Q45" s="423">
        <f t="shared" si="190"/>
        <v>0</v>
      </c>
      <c r="R45" s="133" t="str">
        <f t="shared" si="191"/>
        <v>X</v>
      </c>
      <c r="S45" s="198"/>
      <c r="T45" s="193"/>
      <c r="U45" s="185"/>
      <c r="V45" s="172"/>
      <c r="W45" s="133" t="str">
        <f t="shared" si="192"/>
        <v/>
      </c>
      <c r="X45" s="185"/>
      <c r="Y45" s="44"/>
      <c r="Z45" s="468" t="str">
        <f t="shared" si="193"/>
        <v/>
      </c>
      <c r="AA45" s="468" t="str">
        <f t="shared" si="194"/>
        <v/>
      </c>
      <c r="AB45" s="336" t="str">
        <f t="shared" si="195"/>
        <v/>
      </c>
      <c r="AC45" s="45"/>
      <c r="AD45" s="468" t="str">
        <f t="shared" si="196"/>
        <v/>
      </c>
      <c r="AE45" s="468" t="str">
        <f t="shared" si="197"/>
        <v/>
      </c>
      <c r="AF45" s="336" t="str">
        <f t="shared" si="198"/>
        <v/>
      </c>
      <c r="AG45" s="45"/>
      <c r="AH45" s="336" t="str">
        <f>IF(AK45="","",IF($W45="도비","-",CONCATENATE(AK45,"-",COUNTIF(AK$7:$AK45,AK45))))</f>
        <v/>
      </c>
      <c r="AI45" s="336" t="str">
        <f t="shared" si="199"/>
        <v/>
      </c>
      <c r="AJ45" s="45"/>
      <c r="AK45" s="336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32" t="str">
        <f>IF($AH45="","",IF($AH45="-",0, SUMIFS('5. 기출'!$AB$7:$AB$2012,'5. 기출'!$AJ$7:$AJ$2012,$AH45)))</f>
        <v/>
      </c>
      <c r="AN45" s="339" t="str">
        <f>IF($AH45="","",IF($AH45="-", 0, COUNTIF('5. 기출'!$AJ$7:$AJ$2012,$AH45)))</f>
        <v/>
      </c>
      <c r="AO45" s="336" t="str">
        <f t="shared" si="200"/>
        <v/>
      </c>
      <c r="AP45" s="46"/>
      <c r="AQ45" s="432" t="str">
        <f>IF($AH45="","",IF($AH45="-",0, SUMIFS('5. 기출'!$AF$7:$AF$2012,'5. 기출'!$AJ$7:$AJ$2012,$AH45)))</f>
        <v/>
      </c>
      <c r="AR45" s="339" t="str">
        <f>IF($AH45="","",IF($AH45="-", 0, COUNTIF('5. 기출'!$AJ$7:$AJ$2012,$AH45)))</f>
        <v/>
      </c>
      <c r="AS45" s="336" t="str">
        <f t="shared" si="201"/>
        <v/>
      </c>
    </row>
    <row r="46" spans="1:45" s="19" customFormat="1" ht="80.099999999999994" customHeight="1">
      <c r="A46" s="126" t="str">
        <f>IF(D46="","",COUNTA($C$7:C46)-COUNTBLANK($C$7:C46)+10)</f>
        <v/>
      </c>
      <c r="B46" s="127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27" t="str">
        <f>IF(D46="","",IF(OR(D46="교육지원과",D46="총무과",D46="인사과"),"직접입력",VLOOKUP(D46,구분표!$A$3:$C$258,3,)))</f>
        <v/>
      </c>
      <c r="D46" s="194"/>
      <c r="E46" s="181"/>
      <c r="F46" s="350" t="str">
        <f t="shared" si="202"/>
        <v/>
      </c>
      <c r="G46" s="350" t="str">
        <f t="shared" si="202"/>
        <v/>
      </c>
      <c r="H46" s="182"/>
      <c r="I46" s="203" t="str">
        <f>IF(H46="","",VLOOKUP($H46,구분표!$O$3:$P$168,2,FALSE))</f>
        <v/>
      </c>
      <c r="J46" s="183"/>
      <c r="K46" s="419" t="str">
        <f t="shared" si="203"/>
        <v/>
      </c>
      <c r="L46" s="419" t="str">
        <f t="shared" si="204"/>
        <v/>
      </c>
      <c r="M46" s="421" t="str">
        <f t="shared" si="188"/>
        <v/>
      </c>
      <c r="N46" s="420"/>
      <c r="O46" s="421">
        <f t="shared" si="189"/>
        <v>0</v>
      </c>
      <c r="P46" s="422"/>
      <c r="Q46" s="423">
        <f t="shared" si="190"/>
        <v>0</v>
      </c>
      <c r="R46" s="133" t="str">
        <f t="shared" si="191"/>
        <v>X</v>
      </c>
      <c r="S46" s="198"/>
      <c r="T46" s="193"/>
      <c r="U46" s="185"/>
      <c r="V46" s="172"/>
      <c r="W46" s="133" t="str">
        <f t="shared" si="192"/>
        <v/>
      </c>
      <c r="X46" s="185"/>
      <c r="Y46" s="44"/>
      <c r="Z46" s="468" t="str">
        <f t="shared" si="193"/>
        <v/>
      </c>
      <c r="AA46" s="468" t="str">
        <f t="shared" si="194"/>
        <v/>
      </c>
      <c r="AB46" s="336" t="str">
        <f t="shared" si="195"/>
        <v/>
      </c>
      <c r="AC46" s="45"/>
      <c r="AD46" s="468" t="str">
        <f t="shared" si="196"/>
        <v/>
      </c>
      <c r="AE46" s="468" t="str">
        <f t="shared" si="197"/>
        <v/>
      </c>
      <c r="AF46" s="336" t="str">
        <f t="shared" si="198"/>
        <v/>
      </c>
      <c r="AG46" s="45"/>
      <c r="AH46" s="336" t="str">
        <f>IF(AK46="","",IF($W46="도비","-",CONCATENATE(AK46,"-",COUNTIF(AK$7:$AK46,AK46))))</f>
        <v/>
      </c>
      <c r="AI46" s="336" t="str">
        <f t="shared" si="199"/>
        <v/>
      </c>
      <c r="AJ46" s="45"/>
      <c r="AK46" s="336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32" t="str">
        <f>IF($AH46="","",IF($AH46="-",0, SUMIFS('5. 기출'!$AB$7:$AB$2012,'5. 기출'!$AJ$7:$AJ$2012,$AH46)))</f>
        <v/>
      </c>
      <c r="AN46" s="339" t="str">
        <f>IF($AH46="","",IF($AH46="-", 0, COUNTIF('5. 기출'!$AJ$7:$AJ$2012,$AH46)))</f>
        <v/>
      </c>
      <c r="AO46" s="336" t="str">
        <f t="shared" si="200"/>
        <v/>
      </c>
      <c r="AP46" s="46"/>
      <c r="AQ46" s="432" t="str">
        <f>IF($AH46="","",IF($AH46="-",0, SUMIFS('5. 기출'!$AF$7:$AF$2012,'5. 기출'!$AJ$7:$AJ$2012,$AH46)))</f>
        <v/>
      </c>
      <c r="AR46" s="339" t="str">
        <f>IF($AH46="","",IF($AH46="-", 0, COUNTIF('5. 기출'!$AJ$7:$AJ$2012,$AH46)))</f>
        <v/>
      </c>
      <c r="AS46" s="336" t="str">
        <f t="shared" si="201"/>
        <v/>
      </c>
    </row>
    <row r="47" spans="1:45" ht="60" customHeight="1">
      <c r="A47" s="141"/>
      <c r="B47" s="886" t="s">
        <v>784</v>
      </c>
      <c r="C47" s="886"/>
      <c r="D47" s="886"/>
      <c r="E47" s="886"/>
      <c r="F47" s="886"/>
      <c r="G47" s="886"/>
      <c r="H47" s="78"/>
      <c r="I47" s="78"/>
      <c r="J47" s="313" t="str">
        <f>SUBTOTAL(3,J48:J50)&amp;"건"</f>
        <v>0건</v>
      </c>
      <c r="K47" s="418">
        <f t="shared" ref="K47:Q47" si="205">SUBTOTAL(9,K48:K50)</f>
        <v>0</v>
      </c>
      <c r="L47" s="418">
        <f t="shared" si="205"/>
        <v>0</v>
      </c>
      <c r="M47" s="418">
        <f t="shared" si="205"/>
        <v>0</v>
      </c>
      <c r="N47" s="418">
        <f t="shared" si="205"/>
        <v>0</v>
      </c>
      <c r="O47" s="418">
        <f t="shared" si="205"/>
        <v>0</v>
      </c>
      <c r="P47" s="418">
        <f t="shared" si="205"/>
        <v>0</v>
      </c>
      <c r="Q47" s="418">
        <f t="shared" si="205"/>
        <v>0</v>
      </c>
      <c r="R47" s="77"/>
      <c r="S47" s="77"/>
      <c r="T47" s="77"/>
      <c r="U47" s="77"/>
      <c r="V47" s="77"/>
      <c r="W47" s="79"/>
      <c r="X47" s="79"/>
      <c r="Y47" s="42"/>
      <c r="Z47" s="418">
        <f>SUBTOTAL(9,Z48:Z50)</f>
        <v>0</v>
      </c>
      <c r="AA47" s="418">
        <f>SUBTOTAL(9,AA48:AA50)</f>
        <v>0</v>
      </c>
      <c r="AB47" s="511" t="str">
        <f>IF(COUNTIF(AB48:AB50,"@@")&gt;0,"@@","OK")</f>
        <v>OK</v>
      </c>
      <c r="AC47" s="43"/>
      <c r="AD47" s="418">
        <f>SUBTOTAL(9,AD48:AD50)</f>
        <v>0</v>
      </c>
      <c r="AE47" s="418">
        <f>SUBTOTAL(9,AE48:AE50)</f>
        <v>0</v>
      </c>
      <c r="AF47" s="511" t="str">
        <f>IF(COUNTIF(AF48:AF50,"@@")&gt;0,"@@","OK")</f>
        <v>OK</v>
      </c>
      <c r="AG47" s="43"/>
      <c r="AH47" s="141"/>
      <c r="AI47" s="141"/>
      <c r="AJ47" s="43"/>
      <c r="AK47" s="141"/>
      <c r="AL47" s="43"/>
      <c r="AM47" s="418">
        <f>SUBTOTAL(9,AM48:AM50)</f>
        <v>0</v>
      </c>
      <c r="AN47" s="418">
        <f>SUBTOTAL(9,AN48:AN50)</f>
        <v>0</v>
      </c>
      <c r="AO47" s="511" t="str">
        <f>IF(COUNTIF(AO48:AO50,"@@")&gt;0,"@@","OK")</f>
        <v>OK</v>
      </c>
      <c r="AP47" s="43"/>
      <c r="AQ47" s="418">
        <f t="shared" ref="AQ47" si="206">SUBTOTAL(9,AQ48:AQ50)</f>
        <v>0</v>
      </c>
      <c r="AR47" s="418">
        <f t="shared" ref="AR47" si="207">SUBTOTAL(9,AR48:AR50)</f>
        <v>0</v>
      </c>
      <c r="AS47" s="511" t="str">
        <f>IF(COUNTIF(AS48:AS50,"@@")&gt;0,"@@","OK")</f>
        <v>OK</v>
      </c>
    </row>
    <row r="48" spans="1:45" s="19" customFormat="1" ht="80.099999999999994" customHeight="1">
      <c r="A48" s="126" t="str">
        <f>IF(D48="","",COUNTA($C$7:C48)-COUNTBLANK($C$7:C48)+11)</f>
        <v/>
      </c>
      <c r="B48" s="127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27" t="str">
        <f>IF(D48="","",IF(OR(D48="교육지원과",D48="총무과",D48="인사과"),"직접입력",VLOOKUP(D48,구분표!$A$3:$C$258,3,)))</f>
        <v/>
      </c>
      <c r="D48" s="194"/>
      <c r="E48" s="181"/>
      <c r="F48" s="350" t="str">
        <f>IF($E48="","",IF($E48="2추","직접입력","-"))</f>
        <v/>
      </c>
      <c r="G48" s="350" t="str">
        <f>IF($E48="","",IF($E48="2추","직접입력","-"))</f>
        <v/>
      </c>
      <c r="H48" s="182"/>
      <c r="I48" s="203" t="str">
        <f>IF(H48="","",VLOOKUP($H48,구분표!$O$3:$P$168,2,FALSE))</f>
        <v/>
      </c>
      <c r="J48" s="183"/>
      <c r="K48" s="419" t="str">
        <f>IF($E48="","",IF(OR($E48="2추",  $E48="1추", $E48="본예산"), "금액입력", "-"))</f>
        <v/>
      </c>
      <c r="L48" s="419" t="str">
        <f>IF($E48="", "", IF($E48="2추","금액입력", "-"))</f>
        <v/>
      </c>
      <c r="M48" s="421" t="str">
        <f t="shared" ref="M48:M50" si="208">IF($E48="","",SUM(K48:L48))</f>
        <v/>
      </c>
      <c r="N48" s="420"/>
      <c r="O48" s="421">
        <f t="shared" ref="O48:O50" si="209">SUM(M48:N48)</f>
        <v>0</v>
      </c>
      <c r="P48" s="422"/>
      <c r="Q48" s="423">
        <f t="shared" ref="Q48:Q50" si="210">SUM(M48,P48)</f>
        <v>0</v>
      </c>
      <c r="R48" s="133" t="str">
        <f t="shared" ref="R48:R50" si="211">IF(AND((O48=0),(Q48&gt;0)),"O",IF(AND((N48&lt;0),(O48-Q48&lt;0)),"O","X"))</f>
        <v>X</v>
      </c>
      <c r="S48" s="198"/>
      <c r="T48" s="193"/>
      <c r="U48" s="185"/>
      <c r="V48" s="172"/>
      <c r="W48" s="133" t="str">
        <f t="shared" ref="W48:W50" si="212">IF($H48="","",IF(OR($H48="511-01", $H48="511-02", $H48="511-03", $H48="311-02", $H48="311-04", $H48="321-01"),"국도비","도비"))</f>
        <v/>
      </c>
      <c r="X48" s="185"/>
      <c r="Y48" s="44"/>
      <c r="Z48" s="468" t="str">
        <f t="shared" ref="Z48:Z50" si="213">IF($W48="", "", IF($W48="국도비",$N48, 0))</f>
        <v/>
      </c>
      <c r="AA48" s="468" t="str">
        <f t="shared" ref="AA48:AA50" si="214">IF($W48="", "", IF($W48="도비",$N48, 0))</f>
        <v/>
      </c>
      <c r="AB48" s="336" t="str">
        <f t="shared" ref="AB48:AB50" si="215">IF($W48="", "", IF($N48=SUM($Z48:$AA48),"OK","@@"))</f>
        <v/>
      </c>
      <c r="AC48" s="45"/>
      <c r="AD48" s="468" t="str">
        <f t="shared" ref="AD48:AD50" si="216">IF($W48="", "", IF($W48="국도비",$P48, 0))</f>
        <v/>
      </c>
      <c r="AE48" s="468" t="str">
        <f t="shared" ref="AE48:AE50" si="217">IF($W48="", "", IF($W48="도비",$P48, 0))</f>
        <v/>
      </c>
      <c r="AF48" s="336" t="str">
        <f t="shared" ref="AF48:AF50" si="218">IF($W48="", "", IF($P48=SUM($AD48:$AE48),"OK","@@"))</f>
        <v/>
      </c>
      <c r="AG48" s="45"/>
      <c r="AH48" s="336" t="str">
        <f>IF(AK48="","",IF($W48="도비","-",CONCATENATE(AK48,"-",COUNTIF(AK$7:$AK48,AK48))))</f>
        <v/>
      </c>
      <c r="AI48" s="336" t="str">
        <f t="shared" ref="AI48:AI50" si="219">IF($H48="","",IF($H48="511-01","국비",IF($H48="511-02","균특",IF($H48="511-03","기금",IF($H48="311-02","특교",IF($H48="311-04","소교",IF($H48="321-01","소멸","도비")))))))</f>
        <v/>
      </c>
      <c r="AJ48" s="45"/>
      <c r="AK48" s="336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32" t="str">
        <f>IF($AH48="","",IF($AH48="-",0, SUMIFS('5. 기출'!$AB$7:$AB$2012,'5. 기출'!$AJ$7:$AJ$2012,$AH48)))</f>
        <v/>
      </c>
      <c r="AN48" s="339" t="str">
        <f>IF($AH48="","",IF($AH48="-", 0, COUNTIF('5. 기출'!$AJ$7:$AJ$2012,$AH48)))</f>
        <v/>
      </c>
      <c r="AO48" s="336" t="str">
        <f t="shared" ref="AO48:AO50" si="220">IF($AH48="", "", IF($Z48=$AM48,"OK","@@"))</f>
        <v/>
      </c>
      <c r="AP48" s="46"/>
      <c r="AQ48" s="432" t="str">
        <f>IF($AH48="","",IF($AH48="-",0, SUMIFS('5. 기출'!$AF$7:$AF$2012,'5. 기출'!$AJ$7:$AJ$2012,$AH48)))</f>
        <v/>
      </c>
      <c r="AR48" s="339" t="str">
        <f>IF($AH48="","",IF($AH48="-", 0, COUNTIF('5. 기출'!$AJ$7:$AJ$2012,$AH48)))</f>
        <v/>
      </c>
      <c r="AS48" s="336" t="str">
        <f t="shared" ref="AS48:AS50" si="221">IF($AH48="", "", IF($AD48=$AQ48,"OK","@@"))</f>
        <v/>
      </c>
    </row>
    <row r="49" spans="1:45" s="19" customFormat="1" ht="80.099999999999994" customHeight="1">
      <c r="A49" s="126" t="str">
        <f>IF(D49="","",COUNTA($C$7:C49)-COUNTBLANK($C$7:C49)+11)</f>
        <v/>
      </c>
      <c r="B49" s="127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27" t="str">
        <f>IF(D49="","",IF(OR(D49="교육지원과",D49="총무과",D49="인사과"),"직접입력",VLOOKUP(D49,구분표!$A$3:$C$258,3,)))</f>
        <v/>
      </c>
      <c r="D49" s="194"/>
      <c r="E49" s="181"/>
      <c r="F49" s="350" t="str">
        <f t="shared" ref="F49:G50" si="222">IF($E49="","",IF($E49="2추","직접입력","-"))</f>
        <v/>
      </c>
      <c r="G49" s="350" t="str">
        <f t="shared" si="222"/>
        <v/>
      </c>
      <c r="H49" s="182"/>
      <c r="I49" s="203" t="str">
        <f>IF(H49="","",VLOOKUP($H49,구분표!$O$3:$P$168,2,FALSE))</f>
        <v/>
      </c>
      <c r="J49" s="183"/>
      <c r="K49" s="419" t="str">
        <f t="shared" ref="K49:K50" si="223">IF($E49="","",IF(OR($E49="2추",  $E49="1추", $E49="본예산"), "금액입력", "-"))</f>
        <v/>
      </c>
      <c r="L49" s="419" t="str">
        <f t="shared" ref="L49:L50" si="224">IF($E49="", "", IF($E49="2추","금액입력", "-"))</f>
        <v/>
      </c>
      <c r="M49" s="421" t="str">
        <f t="shared" si="208"/>
        <v/>
      </c>
      <c r="N49" s="420"/>
      <c r="O49" s="421">
        <f t="shared" si="209"/>
        <v>0</v>
      </c>
      <c r="P49" s="422"/>
      <c r="Q49" s="423">
        <f t="shared" si="210"/>
        <v>0</v>
      </c>
      <c r="R49" s="133" t="str">
        <f t="shared" si="211"/>
        <v>X</v>
      </c>
      <c r="S49" s="198"/>
      <c r="T49" s="193"/>
      <c r="U49" s="185"/>
      <c r="V49" s="172"/>
      <c r="W49" s="133" t="str">
        <f t="shared" si="212"/>
        <v/>
      </c>
      <c r="X49" s="185"/>
      <c r="Y49" s="44"/>
      <c r="Z49" s="468" t="str">
        <f t="shared" si="213"/>
        <v/>
      </c>
      <c r="AA49" s="468" t="str">
        <f t="shared" si="214"/>
        <v/>
      </c>
      <c r="AB49" s="336" t="str">
        <f t="shared" si="215"/>
        <v/>
      </c>
      <c r="AC49" s="45"/>
      <c r="AD49" s="468" t="str">
        <f t="shared" si="216"/>
        <v/>
      </c>
      <c r="AE49" s="468" t="str">
        <f t="shared" si="217"/>
        <v/>
      </c>
      <c r="AF49" s="336" t="str">
        <f t="shared" si="218"/>
        <v/>
      </c>
      <c r="AG49" s="45"/>
      <c r="AH49" s="336" t="str">
        <f>IF(AK49="","",IF($W49="도비","-",CONCATENATE(AK49,"-",COUNTIF(AK$7:$AK49,AK49))))</f>
        <v/>
      </c>
      <c r="AI49" s="336" t="str">
        <f t="shared" si="219"/>
        <v/>
      </c>
      <c r="AJ49" s="45"/>
      <c r="AK49" s="336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32" t="str">
        <f>IF($AH49="","",IF($AH49="-",0, SUMIFS('5. 기출'!$AB$7:$AB$2012,'5. 기출'!$AJ$7:$AJ$2012,$AH49)))</f>
        <v/>
      </c>
      <c r="AN49" s="339" t="str">
        <f>IF($AH49="","",IF($AH49="-", 0, COUNTIF('5. 기출'!$AJ$7:$AJ$2012,$AH49)))</f>
        <v/>
      </c>
      <c r="AO49" s="336" t="str">
        <f t="shared" si="220"/>
        <v/>
      </c>
      <c r="AP49" s="46"/>
      <c r="AQ49" s="432" t="str">
        <f>IF($AH49="","",IF($AH49="-",0, SUMIFS('5. 기출'!$AF$7:$AF$2012,'5. 기출'!$AJ$7:$AJ$2012,$AH49)))</f>
        <v/>
      </c>
      <c r="AR49" s="339" t="str">
        <f>IF($AH49="","",IF($AH49="-", 0, COUNTIF('5. 기출'!$AJ$7:$AJ$2012,$AH49)))</f>
        <v/>
      </c>
      <c r="AS49" s="336" t="str">
        <f t="shared" si="221"/>
        <v/>
      </c>
    </row>
    <row r="50" spans="1:45" s="19" customFormat="1" ht="80.099999999999994" customHeight="1">
      <c r="A50" s="126" t="str">
        <f>IF(D50="","",COUNTA($C$7:C50)-COUNTBLANK($C$7:C50)+11)</f>
        <v/>
      </c>
      <c r="B50" s="127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27" t="str">
        <f>IF(D50="","",IF(OR(D50="교육지원과",D50="총무과",D50="인사과"),"직접입력",VLOOKUP(D50,구분표!$A$3:$C$258,3,)))</f>
        <v/>
      </c>
      <c r="D50" s="194"/>
      <c r="E50" s="181"/>
      <c r="F50" s="350" t="str">
        <f t="shared" si="222"/>
        <v/>
      </c>
      <c r="G50" s="350" t="str">
        <f t="shared" si="222"/>
        <v/>
      </c>
      <c r="H50" s="182"/>
      <c r="I50" s="203" t="str">
        <f>IF(H50="","",VLOOKUP($H50,구분표!$O$3:$P$168,2,FALSE))</f>
        <v/>
      </c>
      <c r="J50" s="183"/>
      <c r="K50" s="419" t="str">
        <f t="shared" si="223"/>
        <v/>
      </c>
      <c r="L50" s="419" t="str">
        <f t="shared" si="224"/>
        <v/>
      </c>
      <c r="M50" s="421" t="str">
        <f t="shared" si="208"/>
        <v/>
      </c>
      <c r="N50" s="420"/>
      <c r="O50" s="421">
        <f t="shared" si="209"/>
        <v>0</v>
      </c>
      <c r="P50" s="422"/>
      <c r="Q50" s="423">
        <f t="shared" si="210"/>
        <v>0</v>
      </c>
      <c r="R50" s="133" t="str">
        <f t="shared" si="211"/>
        <v>X</v>
      </c>
      <c r="S50" s="198"/>
      <c r="T50" s="193"/>
      <c r="U50" s="185"/>
      <c r="V50" s="172"/>
      <c r="W50" s="133" t="str">
        <f t="shared" si="212"/>
        <v/>
      </c>
      <c r="X50" s="185"/>
      <c r="Y50" s="44"/>
      <c r="Z50" s="468" t="str">
        <f t="shared" si="213"/>
        <v/>
      </c>
      <c r="AA50" s="468" t="str">
        <f t="shared" si="214"/>
        <v/>
      </c>
      <c r="AB50" s="336" t="str">
        <f t="shared" si="215"/>
        <v/>
      </c>
      <c r="AC50" s="45"/>
      <c r="AD50" s="468" t="str">
        <f t="shared" si="216"/>
        <v/>
      </c>
      <c r="AE50" s="468" t="str">
        <f t="shared" si="217"/>
        <v/>
      </c>
      <c r="AF50" s="336" t="str">
        <f t="shared" si="218"/>
        <v/>
      </c>
      <c r="AG50" s="45"/>
      <c r="AH50" s="336" t="str">
        <f>IF(AK50="","",IF($W50="도비","-",CONCATENATE(AK50,"-",COUNTIF(AK$7:$AK50,AK50))))</f>
        <v/>
      </c>
      <c r="AI50" s="336" t="str">
        <f t="shared" si="219"/>
        <v/>
      </c>
      <c r="AJ50" s="45"/>
      <c r="AK50" s="336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32" t="str">
        <f>IF($AH50="","",IF($AH50="-",0, SUMIFS('5. 기출'!$AB$7:$AB$2012,'5. 기출'!$AJ$7:$AJ$2012,$AH50)))</f>
        <v/>
      </c>
      <c r="AN50" s="339" t="str">
        <f>IF($AH50="","",IF($AH50="-", 0, COUNTIF('5. 기출'!$AJ$7:$AJ$2012,$AH50)))</f>
        <v/>
      </c>
      <c r="AO50" s="336" t="str">
        <f t="shared" si="220"/>
        <v/>
      </c>
      <c r="AP50" s="46"/>
      <c r="AQ50" s="432" t="str">
        <f>IF($AH50="","",IF($AH50="-",0, SUMIFS('5. 기출'!$AF$7:$AF$2012,'5. 기출'!$AJ$7:$AJ$2012,$AH50)))</f>
        <v/>
      </c>
      <c r="AR50" s="339" t="str">
        <f>IF($AH50="","",IF($AH50="-", 0, COUNTIF('5. 기출'!$AJ$7:$AJ$2012,$AH50)))</f>
        <v/>
      </c>
      <c r="AS50" s="336" t="str">
        <f t="shared" si="221"/>
        <v/>
      </c>
    </row>
    <row r="51" spans="1:45" ht="60" customHeight="1">
      <c r="A51" s="141"/>
      <c r="B51" s="886" t="s">
        <v>785</v>
      </c>
      <c r="C51" s="886"/>
      <c r="D51" s="886"/>
      <c r="E51" s="886"/>
      <c r="F51" s="886"/>
      <c r="G51" s="886"/>
      <c r="H51" s="78"/>
      <c r="I51" s="78"/>
      <c r="J51" s="313" t="str">
        <f>SUBTOTAL(3,J52:J54)&amp;"건"</f>
        <v>0건</v>
      </c>
      <c r="K51" s="418">
        <f t="shared" ref="K51:Q51" si="225">SUBTOTAL(9,K52:K54)</f>
        <v>0</v>
      </c>
      <c r="L51" s="418">
        <f t="shared" si="225"/>
        <v>0</v>
      </c>
      <c r="M51" s="418">
        <f t="shared" si="225"/>
        <v>0</v>
      </c>
      <c r="N51" s="418">
        <f t="shared" si="225"/>
        <v>0</v>
      </c>
      <c r="O51" s="418">
        <f t="shared" si="225"/>
        <v>0</v>
      </c>
      <c r="P51" s="418">
        <f t="shared" si="225"/>
        <v>0</v>
      </c>
      <c r="Q51" s="418">
        <f t="shared" si="225"/>
        <v>0</v>
      </c>
      <c r="R51" s="77"/>
      <c r="S51" s="77"/>
      <c r="T51" s="77"/>
      <c r="U51" s="77"/>
      <c r="V51" s="77"/>
      <c r="W51" s="79"/>
      <c r="X51" s="79"/>
      <c r="Y51" s="42"/>
      <c r="Z51" s="418">
        <f>SUBTOTAL(9,Z52:Z54)</f>
        <v>0</v>
      </c>
      <c r="AA51" s="418">
        <f>SUBTOTAL(9,AA52:AA54)</f>
        <v>0</v>
      </c>
      <c r="AB51" s="511" t="str">
        <f>IF(COUNTIF(AB52:AB54,"@@")&gt;0,"@@","OK")</f>
        <v>OK</v>
      </c>
      <c r="AC51" s="43"/>
      <c r="AD51" s="418">
        <f>SUBTOTAL(9,AD52:AD54)</f>
        <v>0</v>
      </c>
      <c r="AE51" s="418">
        <f>SUBTOTAL(9,AE52:AE54)</f>
        <v>0</v>
      </c>
      <c r="AF51" s="511" t="str">
        <f>IF(COUNTIF(AF52:AF54,"@@")&gt;0,"@@","OK")</f>
        <v>OK</v>
      </c>
      <c r="AG51" s="43"/>
      <c r="AH51" s="141"/>
      <c r="AI51" s="141"/>
      <c r="AJ51" s="43"/>
      <c r="AK51" s="141"/>
      <c r="AL51" s="43"/>
      <c r="AM51" s="418">
        <f>SUBTOTAL(9,AM52:AM54)</f>
        <v>0</v>
      </c>
      <c r="AN51" s="418">
        <f>SUBTOTAL(9,AN52:AN54)</f>
        <v>0</v>
      </c>
      <c r="AO51" s="511" t="str">
        <f>IF(COUNTIF(AO52:AO54,"@@")&gt;0,"@@","OK")</f>
        <v>OK</v>
      </c>
      <c r="AP51" s="43"/>
      <c r="AQ51" s="418">
        <f t="shared" ref="AQ51" si="226">SUBTOTAL(9,AQ52:AQ54)</f>
        <v>0</v>
      </c>
      <c r="AR51" s="418">
        <f t="shared" ref="AR51" si="227">SUBTOTAL(9,AR52:AR54)</f>
        <v>0</v>
      </c>
      <c r="AS51" s="511" t="str">
        <f>IF(COUNTIF(AS52:AS54,"@@")&gt;0,"@@","OK")</f>
        <v>OK</v>
      </c>
    </row>
    <row r="52" spans="1:45" s="19" customFormat="1" ht="80.099999999999994" customHeight="1">
      <c r="A52" s="126" t="str">
        <f>IF(D52="","",COUNTA($C$7:C52)-COUNTBLANK($C$7:C52)+12)</f>
        <v/>
      </c>
      <c r="B52" s="127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27" t="str">
        <f>IF(D52="","",IF(OR(D52="교육지원과",D52="총무과",D52="인사과"),"직접입력",VLOOKUP(D52,구분표!$A$3:$C$258,3,)))</f>
        <v/>
      </c>
      <c r="D52" s="194"/>
      <c r="E52" s="181"/>
      <c r="F52" s="350" t="str">
        <f>IF($E52="","",IF($E52="2추","직접입력","-"))</f>
        <v/>
      </c>
      <c r="G52" s="350" t="str">
        <f>IF($E52="","",IF($E52="2추","직접입력","-"))</f>
        <v/>
      </c>
      <c r="H52" s="182"/>
      <c r="I52" s="203" t="str">
        <f>IF(H52="","",VLOOKUP($H52,구분표!$O$3:$P$168,2,FALSE))</f>
        <v/>
      </c>
      <c r="J52" s="183"/>
      <c r="K52" s="419" t="str">
        <f>IF($E52="","",IF(OR($E52="2추",  $E52="1추", $E52="본예산"), "금액입력", "-"))</f>
        <v/>
      </c>
      <c r="L52" s="419" t="str">
        <f>IF($E52="", "", IF($E52="2추","금액입력", "-"))</f>
        <v/>
      </c>
      <c r="M52" s="421" t="str">
        <f t="shared" ref="M52:M54" si="228">IF($E52="","",SUM(K52:L52))</f>
        <v/>
      </c>
      <c r="N52" s="420"/>
      <c r="O52" s="421">
        <f t="shared" ref="O52:O54" si="229">SUM(M52:N52)</f>
        <v>0</v>
      </c>
      <c r="P52" s="422"/>
      <c r="Q52" s="423">
        <f t="shared" ref="Q52:Q54" si="230">SUM(M52,P52)</f>
        <v>0</v>
      </c>
      <c r="R52" s="133" t="str">
        <f t="shared" ref="R52:R54" si="231">IF(AND((O52=0),(Q52&gt;0)),"O",IF(AND((N52&lt;0),(O52-Q52&lt;0)),"O","X"))</f>
        <v>X</v>
      </c>
      <c r="S52" s="198"/>
      <c r="T52" s="193"/>
      <c r="U52" s="185"/>
      <c r="V52" s="172"/>
      <c r="W52" s="133" t="str">
        <f t="shared" ref="W52:W54" si="232">IF($H52="","",IF(OR($H52="511-01", $H52="511-02", $H52="511-03", $H52="311-02", $H52="311-04", $H52="321-01"),"국도비","도비"))</f>
        <v/>
      </c>
      <c r="X52" s="185"/>
      <c r="Y52" s="44"/>
      <c r="Z52" s="468" t="str">
        <f t="shared" ref="Z52:Z54" si="233">IF($W52="", "", IF($W52="국도비",$N52, 0))</f>
        <v/>
      </c>
      <c r="AA52" s="468" t="str">
        <f t="shared" ref="AA52:AA54" si="234">IF($W52="", "", IF($W52="도비",$N52, 0))</f>
        <v/>
      </c>
      <c r="AB52" s="336" t="str">
        <f t="shared" ref="AB52:AB54" si="235">IF($W52="", "", IF($N52=SUM($Z52:$AA52),"OK","@@"))</f>
        <v/>
      </c>
      <c r="AC52" s="45"/>
      <c r="AD52" s="468" t="str">
        <f t="shared" ref="AD52:AD54" si="236">IF($W52="", "", IF($W52="국도비",$P52, 0))</f>
        <v/>
      </c>
      <c r="AE52" s="468" t="str">
        <f t="shared" ref="AE52:AE54" si="237">IF($W52="", "", IF($W52="도비",$P52, 0))</f>
        <v/>
      </c>
      <c r="AF52" s="336" t="str">
        <f t="shared" ref="AF52:AF54" si="238">IF($W52="", "", IF($P52=SUM($AD52:$AE52),"OK","@@"))</f>
        <v/>
      </c>
      <c r="AG52" s="45"/>
      <c r="AH52" s="336" t="str">
        <f>IF(AK52="","",IF($W52="도비","-",CONCATENATE(AK52,"-",COUNTIF(AK$7:$AK52,AK52))))</f>
        <v/>
      </c>
      <c r="AI52" s="336" t="str">
        <f t="shared" ref="AI52:AI54" si="239">IF($H52="","",IF($H52="511-01","국비",IF($H52="511-02","균특",IF($H52="511-03","기금",IF($H52="311-02","특교",IF($H52="311-04","소교",IF($H52="321-01","소멸","도비")))))))</f>
        <v/>
      </c>
      <c r="AJ52" s="45"/>
      <c r="AK52" s="336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32" t="str">
        <f>IF($AH52="","",IF($AH52="-",0, SUMIFS('5. 기출'!$AB$7:$AB$2012,'5. 기출'!$AJ$7:$AJ$2012,$AH52)))</f>
        <v/>
      </c>
      <c r="AN52" s="339" t="str">
        <f>IF($AH52="","",IF($AH52="-", 0, COUNTIF('5. 기출'!$AJ$7:$AJ$2012,$AH52)))</f>
        <v/>
      </c>
      <c r="AO52" s="336" t="str">
        <f t="shared" ref="AO52:AO54" si="240">IF($AH52="", "", IF($Z52=$AM52,"OK","@@"))</f>
        <v/>
      </c>
      <c r="AP52" s="46"/>
      <c r="AQ52" s="432" t="str">
        <f>IF($AH52="","",IF($AH52="-",0, SUMIFS('5. 기출'!$AF$7:$AF$2012,'5. 기출'!$AJ$7:$AJ$2012,$AH52)))</f>
        <v/>
      </c>
      <c r="AR52" s="339" t="str">
        <f>IF($AH52="","",IF($AH52="-", 0, COUNTIF('5. 기출'!$AJ$7:$AJ$2012,$AH52)))</f>
        <v/>
      </c>
      <c r="AS52" s="336" t="str">
        <f t="shared" ref="AS52:AS54" si="241">IF($AH52="", "", IF($AD52=$AQ52,"OK","@@"))</f>
        <v/>
      </c>
    </row>
    <row r="53" spans="1:45" s="19" customFormat="1" ht="80.099999999999994" customHeight="1">
      <c r="A53" s="126" t="str">
        <f>IF(D53="","",COUNTA($C$7:C53)-COUNTBLANK($C$7:C53)+12)</f>
        <v/>
      </c>
      <c r="B53" s="127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27" t="str">
        <f>IF(D53="","",IF(OR(D53="교육지원과",D53="총무과",D53="인사과"),"직접입력",VLOOKUP(D53,구분표!$A$3:$C$258,3,)))</f>
        <v/>
      </c>
      <c r="D53" s="194"/>
      <c r="E53" s="181"/>
      <c r="F53" s="350" t="str">
        <f t="shared" ref="F53:G54" si="242">IF($E53="","",IF($E53="2추","직접입력","-"))</f>
        <v/>
      </c>
      <c r="G53" s="350" t="str">
        <f t="shared" si="242"/>
        <v/>
      </c>
      <c r="H53" s="182"/>
      <c r="I53" s="203" t="str">
        <f>IF(H53="","",VLOOKUP($H53,구분표!$O$3:$P$168,2,FALSE))</f>
        <v/>
      </c>
      <c r="J53" s="183"/>
      <c r="K53" s="419" t="str">
        <f t="shared" ref="K53:K54" si="243">IF($E53="","",IF(OR($E53="2추",  $E53="1추", $E53="본예산"), "금액입력", "-"))</f>
        <v/>
      </c>
      <c r="L53" s="419" t="str">
        <f t="shared" ref="L53:L54" si="244">IF($E53="", "", IF($E53="2추","금액입력", "-"))</f>
        <v/>
      </c>
      <c r="M53" s="421" t="str">
        <f t="shared" si="228"/>
        <v/>
      </c>
      <c r="N53" s="420"/>
      <c r="O53" s="421">
        <f t="shared" si="229"/>
        <v>0</v>
      </c>
      <c r="P53" s="422"/>
      <c r="Q53" s="423">
        <f t="shared" si="230"/>
        <v>0</v>
      </c>
      <c r="R53" s="133" t="str">
        <f t="shared" si="231"/>
        <v>X</v>
      </c>
      <c r="S53" s="198"/>
      <c r="T53" s="193"/>
      <c r="U53" s="185"/>
      <c r="V53" s="172"/>
      <c r="W53" s="133" t="str">
        <f t="shared" si="232"/>
        <v/>
      </c>
      <c r="X53" s="185"/>
      <c r="Y53" s="44"/>
      <c r="Z53" s="468" t="str">
        <f t="shared" si="233"/>
        <v/>
      </c>
      <c r="AA53" s="468" t="str">
        <f t="shared" si="234"/>
        <v/>
      </c>
      <c r="AB53" s="336" t="str">
        <f t="shared" si="235"/>
        <v/>
      </c>
      <c r="AC53" s="45"/>
      <c r="AD53" s="468" t="str">
        <f t="shared" si="236"/>
        <v/>
      </c>
      <c r="AE53" s="468" t="str">
        <f t="shared" si="237"/>
        <v/>
      </c>
      <c r="AF53" s="336" t="str">
        <f t="shared" si="238"/>
        <v/>
      </c>
      <c r="AG53" s="45"/>
      <c r="AH53" s="336" t="str">
        <f>IF(AK53="","",IF($W53="도비","-",CONCATENATE(AK53,"-",COUNTIF(AK$7:$AK53,AK53))))</f>
        <v/>
      </c>
      <c r="AI53" s="336" t="str">
        <f t="shared" si="239"/>
        <v/>
      </c>
      <c r="AJ53" s="45"/>
      <c r="AK53" s="336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32" t="str">
        <f>IF($AH53="","",IF($AH53="-",0, SUMIFS('5. 기출'!$AB$7:$AB$2012,'5. 기출'!$AJ$7:$AJ$2012,$AH53)))</f>
        <v/>
      </c>
      <c r="AN53" s="339" t="str">
        <f>IF($AH53="","",IF($AH53="-", 0, COUNTIF('5. 기출'!$AJ$7:$AJ$2012,$AH53)))</f>
        <v/>
      </c>
      <c r="AO53" s="336" t="str">
        <f t="shared" si="240"/>
        <v/>
      </c>
      <c r="AP53" s="46"/>
      <c r="AQ53" s="432" t="str">
        <f>IF($AH53="","",IF($AH53="-",0, SUMIFS('5. 기출'!$AF$7:$AF$2012,'5. 기출'!$AJ$7:$AJ$2012,$AH53)))</f>
        <v/>
      </c>
      <c r="AR53" s="339" t="str">
        <f>IF($AH53="","",IF($AH53="-", 0, COUNTIF('5. 기출'!$AJ$7:$AJ$2012,$AH53)))</f>
        <v/>
      </c>
      <c r="AS53" s="336" t="str">
        <f t="shared" si="241"/>
        <v/>
      </c>
    </row>
    <row r="54" spans="1:45" s="19" customFormat="1" ht="80.099999999999994" customHeight="1">
      <c r="A54" s="126" t="str">
        <f>IF(D54="","",COUNTA($C$7:C54)-COUNTBLANK($C$7:C54)+12)</f>
        <v/>
      </c>
      <c r="B54" s="127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27" t="str">
        <f>IF(D54="","",IF(OR(D54="교육지원과",D54="총무과",D54="인사과"),"직접입력",VLOOKUP(D54,구분표!$A$3:$C$258,3,)))</f>
        <v/>
      </c>
      <c r="D54" s="194"/>
      <c r="E54" s="181"/>
      <c r="F54" s="350" t="str">
        <f t="shared" si="242"/>
        <v/>
      </c>
      <c r="G54" s="350" t="str">
        <f t="shared" si="242"/>
        <v/>
      </c>
      <c r="H54" s="182"/>
      <c r="I54" s="203" t="str">
        <f>IF(H54="","",VLOOKUP($H54,구분표!$O$3:$P$168,2,FALSE))</f>
        <v/>
      </c>
      <c r="J54" s="183"/>
      <c r="K54" s="419" t="str">
        <f t="shared" si="243"/>
        <v/>
      </c>
      <c r="L54" s="419" t="str">
        <f t="shared" si="244"/>
        <v/>
      </c>
      <c r="M54" s="421" t="str">
        <f t="shared" si="228"/>
        <v/>
      </c>
      <c r="N54" s="420"/>
      <c r="O54" s="421">
        <f t="shared" si="229"/>
        <v>0</v>
      </c>
      <c r="P54" s="422"/>
      <c r="Q54" s="423">
        <f t="shared" si="230"/>
        <v>0</v>
      </c>
      <c r="R54" s="133" t="str">
        <f t="shared" si="231"/>
        <v>X</v>
      </c>
      <c r="S54" s="198"/>
      <c r="T54" s="193"/>
      <c r="U54" s="185"/>
      <c r="V54" s="172"/>
      <c r="W54" s="133" t="str">
        <f t="shared" si="232"/>
        <v/>
      </c>
      <c r="X54" s="185"/>
      <c r="Y54" s="44"/>
      <c r="Z54" s="468" t="str">
        <f t="shared" si="233"/>
        <v/>
      </c>
      <c r="AA54" s="468" t="str">
        <f t="shared" si="234"/>
        <v/>
      </c>
      <c r="AB54" s="336" t="str">
        <f t="shared" si="235"/>
        <v/>
      </c>
      <c r="AC54" s="45"/>
      <c r="AD54" s="468" t="str">
        <f t="shared" si="236"/>
        <v/>
      </c>
      <c r="AE54" s="468" t="str">
        <f t="shared" si="237"/>
        <v/>
      </c>
      <c r="AF54" s="336" t="str">
        <f t="shared" si="238"/>
        <v/>
      </c>
      <c r="AG54" s="45"/>
      <c r="AH54" s="336" t="str">
        <f>IF(AK54="","",IF($W54="도비","-",CONCATENATE(AK54,"-",COUNTIF(AK$7:$AK54,AK54))))</f>
        <v/>
      </c>
      <c r="AI54" s="336" t="str">
        <f t="shared" si="239"/>
        <v/>
      </c>
      <c r="AJ54" s="45"/>
      <c r="AK54" s="336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32" t="str">
        <f>IF($AH54="","",IF($AH54="-",0, SUMIFS('5. 기출'!$AB$7:$AB$2012,'5. 기출'!$AJ$7:$AJ$2012,$AH54)))</f>
        <v/>
      </c>
      <c r="AN54" s="339" t="str">
        <f>IF($AH54="","",IF($AH54="-", 0, COUNTIF('5. 기출'!$AJ$7:$AJ$2012,$AH54)))</f>
        <v/>
      </c>
      <c r="AO54" s="336" t="str">
        <f t="shared" si="240"/>
        <v/>
      </c>
      <c r="AP54" s="46"/>
      <c r="AQ54" s="432" t="str">
        <f>IF($AH54="","",IF($AH54="-",0, SUMIFS('5. 기출'!$AF$7:$AF$2012,'5. 기출'!$AJ$7:$AJ$2012,$AH54)))</f>
        <v/>
      </c>
      <c r="AR54" s="339" t="str">
        <f>IF($AH54="","",IF($AH54="-", 0, COUNTIF('5. 기출'!$AJ$7:$AJ$2012,$AH54)))</f>
        <v/>
      </c>
      <c r="AS54" s="336" t="str">
        <f t="shared" si="241"/>
        <v/>
      </c>
    </row>
    <row r="55" spans="1:45" ht="60" customHeight="1">
      <c r="A55" s="141"/>
      <c r="B55" s="886" t="s">
        <v>786</v>
      </c>
      <c r="C55" s="886"/>
      <c r="D55" s="886"/>
      <c r="E55" s="886"/>
      <c r="F55" s="886"/>
      <c r="G55" s="886"/>
      <c r="H55" s="78"/>
      <c r="I55" s="78"/>
      <c r="J55" s="313" t="str">
        <f>SUBTOTAL(3,J56:J58)&amp;"건"</f>
        <v>0건</v>
      </c>
      <c r="K55" s="418">
        <f t="shared" ref="K55:Q55" si="245">SUBTOTAL(9,K56:K58)</f>
        <v>0</v>
      </c>
      <c r="L55" s="418">
        <f t="shared" si="245"/>
        <v>0</v>
      </c>
      <c r="M55" s="418">
        <f t="shared" si="245"/>
        <v>0</v>
      </c>
      <c r="N55" s="418">
        <f t="shared" si="245"/>
        <v>0</v>
      </c>
      <c r="O55" s="418">
        <f t="shared" si="245"/>
        <v>0</v>
      </c>
      <c r="P55" s="418">
        <f t="shared" si="245"/>
        <v>0</v>
      </c>
      <c r="Q55" s="418">
        <f t="shared" si="245"/>
        <v>0</v>
      </c>
      <c r="R55" s="77"/>
      <c r="S55" s="77"/>
      <c r="T55" s="77"/>
      <c r="U55" s="77"/>
      <c r="V55" s="77"/>
      <c r="W55" s="79"/>
      <c r="X55" s="79"/>
      <c r="Y55" s="42"/>
      <c r="Z55" s="418">
        <f>SUBTOTAL(9,Z56:Z58)</f>
        <v>0</v>
      </c>
      <c r="AA55" s="418">
        <f>SUBTOTAL(9,AA56:AA58)</f>
        <v>0</v>
      </c>
      <c r="AB55" s="511" t="str">
        <f>IF(COUNTIF(AB56:AB58,"@@")&gt;0,"@@","OK")</f>
        <v>OK</v>
      </c>
      <c r="AC55" s="43"/>
      <c r="AD55" s="418">
        <f>SUBTOTAL(9,AD56:AD58)</f>
        <v>0</v>
      </c>
      <c r="AE55" s="418">
        <f>SUBTOTAL(9,AE56:AE58)</f>
        <v>0</v>
      </c>
      <c r="AF55" s="511" t="str">
        <f>IF(COUNTIF(AF56:AF58,"@@")&gt;0,"@@","OK")</f>
        <v>OK</v>
      </c>
      <c r="AG55" s="43"/>
      <c r="AH55" s="141"/>
      <c r="AI55" s="141"/>
      <c r="AJ55" s="43"/>
      <c r="AK55" s="141"/>
      <c r="AL55" s="43"/>
      <c r="AM55" s="418">
        <f>SUBTOTAL(9,AM56:AM58)</f>
        <v>0</v>
      </c>
      <c r="AN55" s="418">
        <f>SUBTOTAL(9,AN56:AN58)</f>
        <v>0</v>
      </c>
      <c r="AO55" s="511" t="str">
        <f>IF(COUNTIF(AO56:AO58,"@@")&gt;0,"@@","OK")</f>
        <v>OK</v>
      </c>
      <c r="AP55" s="43"/>
      <c r="AQ55" s="418">
        <f t="shared" ref="AQ55" si="246">SUBTOTAL(9,AQ56:AQ58)</f>
        <v>0</v>
      </c>
      <c r="AR55" s="418">
        <f t="shared" ref="AR55" si="247">SUBTOTAL(9,AR56:AR58)</f>
        <v>0</v>
      </c>
      <c r="AS55" s="511" t="str">
        <f>IF(COUNTIF(AS56:AS58,"@@")&gt;0,"@@","OK")</f>
        <v>OK</v>
      </c>
    </row>
    <row r="56" spans="1:45" s="19" customFormat="1" ht="80.099999999999994" customHeight="1">
      <c r="A56" s="126" t="str">
        <f>IF(D56="","",COUNTA($C$7:C56)-COUNTBLANK($C$7:C56)+13)</f>
        <v/>
      </c>
      <c r="B56" s="127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27" t="str">
        <f>IF(D56="","",IF(OR(D56="교육지원과",D56="총무과",D56="인사과"),"직접입력",VLOOKUP(D56,구분표!$A$3:$C$258,3,)))</f>
        <v/>
      </c>
      <c r="D56" s="194"/>
      <c r="E56" s="181"/>
      <c r="F56" s="350" t="str">
        <f>IF($E56="","",IF($E56="2추","직접입력","-"))</f>
        <v/>
      </c>
      <c r="G56" s="350" t="str">
        <f>IF($E56="","",IF($E56="2추","직접입력","-"))</f>
        <v/>
      </c>
      <c r="H56" s="182"/>
      <c r="I56" s="203" t="str">
        <f>IF(H56="","",VLOOKUP($H56,구분표!$O$3:$P$168,2,FALSE))</f>
        <v/>
      </c>
      <c r="J56" s="183"/>
      <c r="K56" s="419" t="str">
        <f>IF($E56="","",IF(OR($E56="2추",  $E56="1추", $E56="본예산"), "금액입력", "-"))</f>
        <v/>
      </c>
      <c r="L56" s="419" t="str">
        <f>IF($E56="", "", IF($E56="2추","금액입력", "-"))</f>
        <v/>
      </c>
      <c r="M56" s="421" t="str">
        <f t="shared" ref="M56:M58" si="248">IF($E56="","",SUM(K56:L56))</f>
        <v/>
      </c>
      <c r="N56" s="420"/>
      <c r="O56" s="421">
        <f t="shared" ref="O56:O58" si="249">SUM(M56:N56)</f>
        <v>0</v>
      </c>
      <c r="P56" s="422"/>
      <c r="Q56" s="423">
        <f t="shared" ref="Q56:Q58" si="250">SUM(M56,P56)</f>
        <v>0</v>
      </c>
      <c r="R56" s="133" t="str">
        <f t="shared" ref="R56:R58" si="251">IF(AND((O56=0),(Q56&gt;0)),"O",IF(AND((N56&lt;0),(O56-Q56&lt;0)),"O","X"))</f>
        <v>X</v>
      </c>
      <c r="S56" s="198"/>
      <c r="T56" s="193"/>
      <c r="U56" s="185"/>
      <c r="V56" s="172"/>
      <c r="W56" s="133" t="str">
        <f t="shared" ref="W56:W58" si="252">IF($H56="","",IF(OR($H56="511-01", $H56="511-02", $H56="511-03", $H56="311-02", $H56="311-04", $H56="321-01"),"국도비","도비"))</f>
        <v/>
      </c>
      <c r="X56" s="185"/>
      <c r="Y56" s="44"/>
      <c r="Z56" s="468" t="str">
        <f t="shared" ref="Z56:Z58" si="253">IF($W56="", "", IF($W56="국도비",$N56, 0))</f>
        <v/>
      </c>
      <c r="AA56" s="468" t="str">
        <f t="shared" ref="AA56:AA58" si="254">IF($W56="", "", IF($W56="도비",$N56, 0))</f>
        <v/>
      </c>
      <c r="AB56" s="336" t="str">
        <f t="shared" ref="AB56:AB58" si="255">IF($W56="", "", IF($N56=SUM($Z56:$AA56),"OK","@@"))</f>
        <v/>
      </c>
      <c r="AC56" s="45"/>
      <c r="AD56" s="468" t="str">
        <f t="shared" ref="AD56:AD58" si="256">IF($W56="", "", IF($W56="국도비",$P56, 0))</f>
        <v/>
      </c>
      <c r="AE56" s="468" t="str">
        <f t="shared" ref="AE56:AE58" si="257">IF($W56="", "", IF($W56="도비",$P56, 0))</f>
        <v/>
      </c>
      <c r="AF56" s="336" t="str">
        <f t="shared" ref="AF56:AF58" si="258">IF($W56="", "", IF($P56=SUM($AD56:$AE56),"OK","@@"))</f>
        <v/>
      </c>
      <c r="AG56" s="45"/>
      <c r="AH56" s="336" t="str">
        <f>IF(AK56="","",IF($W56="도비","-",CONCATENATE(AK56,"-",COUNTIF(AK$7:$AK56,AK56))))</f>
        <v/>
      </c>
      <c r="AI56" s="336" t="str">
        <f t="shared" ref="AI56:AI58" si="259">IF($H56="","",IF($H56="511-01","국비",IF($H56="511-02","균특",IF($H56="511-03","기금",IF($H56="311-02","특교",IF($H56="311-04","소교",IF($H56="321-01","소멸","도비")))))))</f>
        <v/>
      </c>
      <c r="AJ56" s="45"/>
      <c r="AK56" s="336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32" t="str">
        <f>IF($AH56="","",IF($AH56="-",0, SUMIFS('5. 기출'!$AB$7:$AB$2012,'5. 기출'!$AJ$7:$AJ$2012,$AH56)))</f>
        <v/>
      </c>
      <c r="AN56" s="339" t="str">
        <f>IF($AH56="","",IF($AH56="-", 0, COUNTIF('5. 기출'!$AJ$7:$AJ$2012,$AH56)))</f>
        <v/>
      </c>
      <c r="AO56" s="336" t="str">
        <f t="shared" ref="AO56:AO58" si="260">IF($AH56="", "", IF($Z56=$AM56,"OK","@@"))</f>
        <v/>
      </c>
      <c r="AP56" s="46"/>
      <c r="AQ56" s="432" t="str">
        <f>IF($AH56="","",IF($AH56="-",0, SUMIFS('5. 기출'!$AF$7:$AF$2012,'5. 기출'!$AJ$7:$AJ$2012,$AH56)))</f>
        <v/>
      </c>
      <c r="AR56" s="339" t="str">
        <f>IF($AH56="","",IF($AH56="-", 0, COUNTIF('5. 기출'!$AJ$7:$AJ$2012,$AH56)))</f>
        <v/>
      </c>
      <c r="AS56" s="336" t="str">
        <f t="shared" ref="AS56:AS58" si="261">IF($AH56="", "", IF($AD56=$AQ56,"OK","@@"))</f>
        <v/>
      </c>
    </row>
    <row r="57" spans="1:45" s="19" customFormat="1" ht="80.099999999999994" customHeight="1">
      <c r="A57" s="126" t="str">
        <f>IF(D57="","",COUNTA($C$7:C57)-COUNTBLANK($C$7:C57)+13)</f>
        <v/>
      </c>
      <c r="B57" s="127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27" t="str">
        <f>IF(D57="","",IF(OR(D57="교육지원과",D57="총무과",D57="인사과"),"직접입력",VLOOKUP(D57,구분표!$A$3:$C$258,3,)))</f>
        <v/>
      </c>
      <c r="D57" s="194"/>
      <c r="E57" s="181"/>
      <c r="F57" s="350" t="str">
        <f t="shared" ref="F57:G58" si="262">IF($E57="","",IF($E57="2추","직접입력","-"))</f>
        <v/>
      </c>
      <c r="G57" s="350" t="str">
        <f t="shared" si="262"/>
        <v/>
      </c>
      <c r="H57" s="182"/>
      <c r="I57" s="203" t="str">
        <f>IF(H57="","",VLOOKUP($H57,구분표!$O$3:$P$168,2,FALSE))</f>
        <v/>
      </c>
      <c r="J57" s="183"/>
      <c r="K57" s="419" t="str">
        <f t="shared" ref="K57:K58" si="263">IF($E57="","",IF(OR($E57="2추",  $E57="1추", $E57="본예산"), "금액입력", "-"))</f>
        <v/>
      </c>
      <c r="L57" s="419" t="str">
        <f t="shared" ref="L57:L58" si="264">IF($E57="", "", IF($E57="2추","금액입력", "-"))</f>
        <v/>
      </c>
      <c r="M57" s="421" t="str">
        <f t="shared" si="248"/>
        <v/>
      </c>
      <c r="N57" s="420"/>
      <c r="O57" s="421">
        <f t="shared" si="249"/>
        <v>0</v>
      </c>
      <c r="P57" s="422"/>
      <c r="Q57" s="423">
        <f t="shared" si="250"/>
        <v>0</v>
      </c>
      <c r="R57" s="133" t="str">
        <f t="shared" si="251"/>
        <v>X</v>
      </c>
      <c r="S57" s="198"/>
      <c r="T57" s="193"/>
      <c r="U57" s="185"/>
      <c r="V57" s="172"/>
      <c r="W57" s="133" t="str">
        <f t="shared" si="252"/>
        <v/>
      </c>
      <c r="X57" s="185"/>
      <c r="Y57" s="44"/>
      <c r="Z57" s="468" t="str">
        <f t="shared" si="253"/>
        <v/>
      </c>
      <c r="AA57" s="468" t="str">
        <f t="shared" si="254"/>
        <v/>
      </c>
      <c r="AB57" s="336" t="str">
        <f t="shared" si="255"/>
        <v/>
      </c>
      <c r="AC57" s="45"/>
      <c r="AD57" s="468" t="str">
        <f t="shared" si="256"/>
        <v/>
      </c>
      <c r="AE57" s="468" t="str">
        <f t="shared" si="257"/>
        <v/>
      </c>
      <c r="AF57" s="336" t="str">
        <f t="shared" si="258"/>
        <v/>
      </c>
      <c r="AG57" s="45"/>
      <c r="AH57" s="336" t="str">
        <f>IF(AK57="","",IF($W57="도비","-",CONCATENATE(AK57,"-",COUNTIF(AK$7:$AK57,AK57))))</f>
        <v/>
      </c>
      <c r="AI57" s="336" t="str">
        <f t="shared" si="259"/>
        <v/>
      </c>
      <c r="AJ57" s="45"/>
      <c r="AK57" s="336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32" t="str">
        <f>IF($AH57="","",IF($AH57="-",0, SUMIFS('5. 기출'!$AB$7:$AB$2012,'5. 기출'!$AJ$7:$AJ$2012,$AH57)))</f>
        <v/>
      </c>
      <c r="AN57" s="339" t="str">
        <f>IF($AH57="","",IF($AH57="-", 0, COUNTIF('5. 기출'!$AJ$7:$AJ$2012,$AH57)))</f>
        <v/>
      </c>
      <c r="AO57" s="336" t="str">
        <f t="shared" si="260"/>
        <v/>
      </c>
      <c r="AP57" s="46"/>
      <c r="AQ57" s="432" t="str">
        <f>IF($AH57="","",IF($AH57="-",0, SUMIFS('5. 기출'!$AF$7:$AF$2012,'5. 기출'!$AJ$7:$AJ$2012,$AH57)))</f>
        <v/>
      </c>
      <c r="AR57" s="339" t="str">
        <f>IF($AH57="","",IF($AH57="-", 0, COUNTIF('5. 기출'!$AJ$7:$AJ$2012,$AH57)))</f>
        <v/>
      </c>
      <c r="AS57" s="336" t="str">
        <f t="shared" si="261"/>
        <v/>
      </c>
    </row>
    <row r="58" spans="1:45" s="19" customFormat="1" ht="80.099999999999994" customHeight="1">
      <c r="A58" s="126" t="str">
        <f>IF(D58="","",COUNTA($C$7:C58)-COUNTBLANK($C$7:C58)+13)</f>
        <v/>
      </c>
      <c r="B58" s="127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27" t="str">
        <f>IF(D58="","",IF(OR(D58="교육지원과",D58="총무과",D58="인사과"),"직접입력",VLOOKUP(D58,구분표!$A$3:$C$258,3,)))</f>
        <v/>
      </c>
      <c r="D58" s="194"/>
      <c r="E58" s="181"/>
      <c r="F58" s="350" t="str">
        <f t="shared" si="262"/>
        <v/>
      </c>
      <c r="G58" s="350" t="str">
        <f t="shared" si="262"/>
        <v/>
      </c>
      <c r="H58" s="182"/>
      <c r="I58" s="203" t="str">
        <f>IF(H58="","",VLOOKUP($H58,구분표!$O$3:$P$168,2,FALSE))</f>
        <v/>
      </c>
      <c r="J58" s="183"/>
      <c r="K58" s="419" t="str">
        <f t="shared" si="263"/>
        <v/>
      </c>
      <c r="L58" s="419" t="str">
        <f t="shared" si="264"/>
        <v/>
      </c>
      <c r="M58" s="421" t="str">
        <f t="shared" si="248"/>
        <v/>
      </c>
      <c r="N58" s="420"/>
      <c r="O58" s="421">
        <f t="shared" si="249"/>
        <v>0</v>
      </c>
      <c r="P58" s="422"/>
      <c r="Q58" s="423">
        <f t="shared" si="250"/>
        <v>0</v>
      </c>
      <c r="R58" s="133" t="str">
        <f t="shared" si="251"/>
        <v>X</v>
      </c>
      <c r="S58" s="198"/>
      <c r="T58" s="193"/>
      <c r="U58" s="185"/>
      <c r="V58" s="172"/>
      <c r="W58" s="133" t="str">
        <f t="shared" si="252"/>
        <v/>
      </c>
      <c r="X58" s="185"/>
      <c r="Y58" s="44"/>
      <c r="Z58" s="468" t="str">
        <f t="shared" si="253"/>
        <v/>
      </c>
      <c r="AA58" s="468" t="str">
        <f t="shared" si="254"/>
        <v/>
      </c>
      <c r="AB58" s="336" t="str">
        <f t="shared" si="255"/>
        <v/>
      </c>
      <c r="AC58" s="45"/>
      <c r="AD58" s="468" t="str">
        <f t="shared" si="256"/>
        <v/>
      </c>
      <c r="AE58" s="468" t="str">
        <f t="shared" si="257"/>
        <v/>
      </c>
      <c r="AF58" s="336" t="str">
        <f t="shared" si="258"/>
        <v/>
      </c>
      <c r="AG58" s="45"/>
      <c r="AH58" s="336" t="str">
        <f>IF(AK58="","",IF($W58="도비","-",CONCATENATE(AK58,"-",COUNTIF(AK$7:$AK58,AK58))))</f>
        <v/>
      </c>
      <c r="AI58" s="336" t="str">
        <f t="shared" si="259"/>
        <v/>
      </c>
      <c r="AJ58" s="45"/>
      <c r="AK58" s="336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32" t="str">
        <f>IF($AH58="","",IF($AH58="-",0, SUMIFS('5. 기출'!$AB$7:$AB$2012,'5. 기출'!$AJ$7:$AJ$2012,$AH58)))</f>
        <v/>
      </c>
      <c r="AN58" s="339" t="str">
        <f>IF($AH58="","",IF($AH58="-", 0, COUNTIF('5. 기출'!$AJ$7:$AJ$2012,$AH58)))</f>
        <v/>
      </c>
      <c r="AO58" s="336" t="str">
        <f t="shared" si="260"/>
        <v/>
      </c>
      <c r="AP58" s="46"/>
      <c r="AQ58" s="432" t="str">
        <f>IF($AH58="","",IF($AH58="-",0, SUMIFS('5. 기출'!$AF$7:$AF$2012,'5. 기출'!$AJ$7:$AJ$2012,$AH58)))</f>
        <v/>
      </c>
      <c r="AR58" s="339" t="str">
        <f>IF($AH58="","",IF($AH58="-", 0, COUNTIF('5. 기출'!$AJ$7:$AJ$2012,$AH58)))</f>
        <v/>
      </c>
      <c r="AS58" s="336" t="str">
        <f t="shared" si="261"/>
        <v/>
      </c>
    </row>
    <row r="59" spans="1:45" ht="60" customHeight="1">
      <c r="A59" s="141"/>
      <c r="B59" s="886" t="s">
        <v>787</v>
      </c>
      <c r="C59" s="886"/>
      <c r="D59" s="886"/>
      <c r="E59" s="886"/>
      <c r="F59" s="886"/>
      <c r="G59" s="886"/>
      <c r="H59" s="78"/>
      <c r="I59" s="78"/>
      <c r="J59" s="313" t="str">
        <f>SUBTOTAL(3,J60:J62)&amp;"건"</f>
        <v>0건</v>
      </c>
      <c r="K59" s="418">
        <f t="shared" ref="K59:Q59" si="265">SUBTOTAL(9,K60:K62)</f>
        <v>0</v>
      </c>
      <c r="L59" s="418">
        <f t="shared" si="265"/>
        <v>0</v>
      </c>
      <c r="M59" s="418">
        <f t="shared" si="265"/>
        <v>0</v>
      </c>
      <c r="N59" s="418">
        <f t="shared" si="265"/>
        <v>0</v>
      </c>
      <c r="O59" s="418">
        <f t="shared" si="265"/>
        <v>0</v>
      </c>
      <c r="P59" s="418">
        <f t="shared" si="265"/>
        <v>0</v>
      </c>
      <c r="Q59" s="418">
        <f t="shared" si="265"/>
        <v>0</v>
      </c>
      <c r="R59" s="77"/>
      <c r="S59" s="77"/>
      <c r="T59" s="77"/>
      <c r="U59" s="77"/>
      <c r="V59" s="77"/>
      <c r="W59" s="79"/>
      <c r="X59" s="79"/>
      <c r="Y59" s="42"/>
      <c r="Z59" s="418">
        <f>SUBTOTAL(9,Z60:Z62)</f>
        <v>0</v>
      </c>
      <c r="AA59" s="418">
        <f>SUBTOTAL(9,AA60:AA62)</f>
        <v>0</v>
      </c>
      <c r="AB59" s="511" t="str">
        <f>IF(COUNTIF(AB60:AB62,"@@")&gt;0,"@@","OK")</f>
        <v>OK</v>
      </c>
      <c r="AC59" s="43"/>
      <c r="AD59" s="418">
        <f>SUBTOTAL(9,AD60:AD62)</f>
        <v>0</v>
      </c>
      <c r="AE59" s="418">
        <f>SUBTOTAL(9,AE60:AE62)</f>
        <v>0</v>
      </c>
      <c r="AF59" s="511" t="str">
        <f>IF(COUNTIF(AF60:AF62,"@@")&gt;0,"@@","OK")</f>
        <v>OK</v>
      </c>
      <c r="AG59" s="43"/>
      <c r="AH59" s="141"/>
      <c r="AI59" s="141"/>
      <c r="AJ59" s="43"/>
      <c r="AK59" s="141"/>
      <c r="AL59" s="43"/>
      <c r="AM59" s="418">
        <f>SUBTOTAL(9,AM60:AM62)</f>
        <v>0</v>
      </c>
      <c r="AN59" s="418">
        <f>SUBTOTAL(9,AN60:AN62)</f>
        <v>0</v>
      </c>
      <c r="AO59" s="511" t="str">
        <f>IF(COUNTIF(AO60:AO62,"@@")&gt;0,"@@","OK")</f>
        <v>OK</v>
      </c>
      <c r="AP59" s="43"/>
      <c r="AQ59" s="418">
        <f t="shared" ref="AQ59" si="266">SUBTOTAL(9,AQ60:AQ62)</f>
        <v>0</v>
      </c>
      <c r="AR59" s="418">
        <f t="shared" ref="AR59" si="267">SUBTOTAL(9,AR60:AR62)</f>
        <v>0</v>
      </c>
      <c r="AS59" s="511" t="str">
        <f>IF(COUNTIF(AS60:AS62,"@@")&gt;0,"@@","OK")</f>
        <v>OK</v>
      </c>
    </row>
    <row r="60" spans="1:45" s="19" customFormat="1" ht="80.099999999999994" customHeight="1">
      <c r="A60" s="126" t="str">
        <f>IF(D60="","",COUNTA($C$7:C60)-COUNTBLANK($C$7:C60)+14)</f>
        <v/>
      </c>
      <c r="B60" s="127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27" t="str">
        <f>IF(D60="","",IF(OR(D60="교육지원과",D60="총무과",D60="인사과"),"직접입력",VLOOKUP(D60,구분표!$A$3:$C$258,3,)))</f>
        <v/>
      </c>
      <c r="D60" s="194"/>
      <c r="E60" s="181"/>
      <c r="F60" s="350" t="str">
        <f>IF($E60="","",IF($E60="2추","직접입력","-"))</f>
        <v/>
      </c>
      <c r="G60" s="350" t="str">
        <f>IF($E60="","",IF($E60="2추","직접입력","-"))</f>
        <v/>
      </c>
      <c r="H60" s="182"/>
      <c r="I60" s="203" t="str">
        <f>IF(H60="","",VLOOKUP($H60,구분표!$O$3:$P$168,2,FALSE))</f>
        <v/>
      </c>
      <c r="J60" s="183"/>
      <c r="K60" s="419" t="str">
        <f>IF($E60="","",IF(OR($E60="2추",  $E60="1추", $E60="본예산"), "금액입력", "-"))</f>
        <v/>
      </c>
      <c r="L60" s="419" t="str">
        <f>IF($E60="", "", IF($E60="2추","금액입력", "-"))</f>
        <v/>
      </c>
      <c r="M60" s="421" t="str">
        <f t="shared" ref="M60:M62" si="268">IF($E60="","",SUM(K60:L60))</f>
        <v/>
      </c>
      <c r="N60" s="420"/>
      <c r="O60" s="421">
        <f t="shared" ref="O60:O62" si="269">SUM(M60:N60)</f>
        <v>0</v>
      </c>
      <c r="P60" s="422"/>
      <c r="Q60" s="423">
        <f t="shared" ref="Q60:Q62" si="270">SUM(M60,P60)</f>
        <v>0</v>
      </c>
      <c r="R60" s="133" t="str">
        <f t="shared" ref="R60:R62" si="271">IF(AND((O60=0),(Q60&gt;0)),"O",IF(AND((N60&lt;0),(O60-Q60&lt;0)),"O","X"))</f>
        <v>X</v>
      </c>
      <c r="S60" s="198"/>
      <c r="T60" s="193"/>
      <c r="U60" s="185"/>
      <c r="V60" s="172"/>
      <c r="W60" s="133" t="str">
        <f t="shared" ref="W60:W62" si="272">IF($H60="","",IF(OR($H60="511-01", $H60="511-02", $H60="511-03", $H60="311-02", $H60="311-04", $H60="321-01"),"국도비","도비"))</f>
        <v/>
      </c>
      <c r="X60" s="185"/>
      <c r="Y60" s="44"/>
      <c r="Z60" s="468" t="str">
        <f t="shared" ref="Z60:Z62" si="273">IF($W60="", "", IF($W60="국도비",$N60, 0))</f>
        <v/>
      </c>
      <c r="AA60" s="468" t="str">
        <f t="shared" ref="AA60:AA62" si="274">IF($W60="", "", IF($W60="도비",$N60, 0))</f>
        <v/>
      </c>
      <c r="AB60" s="336" t="str">
        <f t="shared" ref="AB60:AB62" si="275">IF($W60="", "", IF($N60=SUM($Z60:$AA60),"OK","@@"))</f>
        <v/>
      </c>
      <c r="AC60" s="45"/>
      <c r="AD60" s="468" t="str">
        <f t="shared" ref="AD60:AD62" si="276">IF($W60="", "", IF($W60="국도비",$P60, 0))</f>
        <v/>
      </c>
      <c r="AE60" s="468" t="str">
        <f t="shared" ref="AE60:AE62" si="277">IF($W60="", "", IF($W60="도비",$P60, 0))</f>
        <v/>
      </c>
      <c r="AF60" s="336" t="str">
        <f t="shared" ref="AF60:AF62" si="278">IF($W60="", "", IF($P60=SUM($AD60:$AE60),"OK","@@"))</f>
        <v/>
      </c>
      <c r="AG60" s="45"/>
      <c r="AH60" s="336" t="str">
        <f>IF(AK60="","",IF($W60="도비","-",CONCATENATE(AK60,"-",COUNTIF(AK$7:$AK60,AK60))))</f>
        <v/>
      </c>
      <c r="AI60" s="336" t="str">
        <f t="shared" ref="AI60:AI62" si="279">IF($H60="","",IF($H60="511-01","국비",IF($H60="511-02","균특",IF($H60="511-03","기금",IF($H60="311-02","특교",IF($H60="311-04","소교",IF($H60="321-01","소멸","도비")))))))</f>
        <v/>
      </c>
      <c r="AJ60" s="45"/>
      <c r="AK60" s="336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32" t="str">
        <f>IF($AH60="","",IF($AH60="-",0, SUMIFS('5. 기출'!$AB$7:$AB$2012,'5. 기출'!$AJ$7:$AJ$2012,$AH60)))</f>
        <v/>
      </c>
      <c r="AN60" s="339" t="str">
        <f>IF($AH60="","",IF($AH60="-", 0, COUNTIF('5. 기출'!$AJ$7:$AJ$2012,$AH60)))</f>
        <v/>
      </c>
      <c r="AO60" s="336" t="str">
        <f t="shared" ref="AO60:AO62" si="280">IF($AH60="", "", IF($Z60=$AM60,"OK","@@"))</f>
        <v/>
      </c>
      <c r="AP60" s="46"/>
      <c r="AQ60" s="432" t="str">
        <f>IF($AH60="","",IF($AH60="-",0, SUMIFS('5. 기출'!$AF$7:$AF$2012,'5. 기출'!$AJ$7:$AJ$2012,$AH60)))</f>
        <v/>
      </c>
      <c r="AR60" s="339" t="str">
        <f>IF($AH60="","",IF($AH60="-", 0, COUNTIF('5. 기출'!$AJ$7:$AJ$2012,$AH60)))</f>
        <v/>
      </c>
      <c r="AS60" s="336" t="str">
        <f t="shared" ref="AS60:AS62" si="281">IF($AH60="", "", IF($AD60=$AQ60,"OK","@@"))</f>
        <v/>
      </c>
    </row>
    <row r="61" spans="1:45" s="19" customFormat="1" ht="80.099999999999994" customHeight="1">
      <c r="A61" s="126" t="str">
        <f>IF(D61="","",COUNTA($C$7:C61)-COUNTBLANK($C$7:C61)+14)</f>
        <v/>
      </c>
      <c r="B61" s="127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27" t="str">
        <f>IF(D61="","",IF(OR(D61="교육지원과",D61="총무과",D61="인사과"),"직접입력",VLOOKUP(D61,구분표!$A$3:$C$258,3,)))</f>
        <v/>
      </c>
      <c r="D61" s="194"/>
      <c r="E61" s="181"/>
      <c r="F61" s="350" t="str">
        <f t="shared" ref="F61:G62" si="282">IF($E61="","",IF($E61="2추","직접입력","-"))</f>
        <v/>
      </c>
      <c r="G61" s="350" t="str">
        <f t="shared" si="282"/>
        <v/>
      </c>
      <c r="H61" s="182"/>
      <c r="I61" s="203" t="str">
        <f>IF(H61="","",VLOOKUP($H61,구분표!$O$3:$P$168,2,FALSE))</f>
        <v/>
      </c>
      <c r="J61" s="183"/>
      <c r="K61" s="419" t="str">
        <f t="shared" ref="K61:K62" si="283">IF($E61="","",IF(OR($E61="2추",  $E61="1추", $E61="본예산"), "금액입력", "-"))</f>
        <v/>
      </c>
      <c r="L61" s="419" t="str">
        <f t="shared" ref="L61:L62" si="284">IF($E61="", "", IF($E61="2추","금액입력", "-"))</f>
        <v/>
      </c>
      <c r="M61" s="421" t="str">
        <f t="shared" si="268"/>
        <v/>
      </c>
      <c r="N61" s="420"/>
      <c r="O61" s="421">
        <f t="shared" si="269"/>
        <v>0</v>
      </c>
      <c r="P61" s="422"/>
      <c r="Q61" s="423">
        <f t="shared" si="270"/>
        <v>0</v>
      </c>
      <c r="R61" s="133" t="str">
        <f t="shared" si="271"/>
        <v>X</v>
      </c>
      <c r="S61" s="198"/>
      <c r="T61" s="193"/>
      <c r="U61" s="185"/>
      <c r="V61" s="172"/>
      <c r="W61" s="133" t="str">
        <f t="shared" si="272"/>
        <v/>
      </c>
      <c r="X61" s="185"/>
      <c r="Y61" s="44"/>
      <c r="Z61" s="468" t="str">
        <f t="shared" si="273"/>
        <v/>
      </c>
      <c r="AA61" s="468" t="str">
        <f t="shared" si="274"/>
        <v/>
      </c>
      <c r="AB61" s="336" t="str">
        <f t="shared" si="275"/>
        <v/>
      </c>
      <c r="AC61" s="45"/>
      <c r="AD61" s="468" t="str">
        <f t="shared" si="276"/>
        <v/>
      </c>
      <c r="AE61" s="468" t="str">
        <f t="shared" si="277"/>
        <v/>
      </c>
      <c r="AF61" s="336" t="str">
        <f t="shared" si="278"/>
        <v/>
      </c>
      <c r="AG61" s="45"/>
      <c r="AH61" s="336" t="str">
        <f>IF(AK61="","",IF($W61="도비","-",CONCATENATE(AK61,"-",COUNTIF(AK$7:$AK61,AK61))))</f>
        <v/>
      </c>
      <c r="AI61" s="336" t="str">
        <f t="shared" si="279"/>
        <v/>
      </c>
      <c r="AJ61" s="45"/>
      <c r="AK61" s="336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32" t="str">
        <f>IF($AH61="","",IF($AH61="-",0, SUMIFS('5. 기출'!$AB$7:$AB$2012,'5. 기출'!$AJ$7:$AJ$2012,$AH61)))</f>
        <v/>
      </c>
      <c r="AN61" s="339" t="str">
        <f>IF($AH61="","",IF($AH61="-", 0, COUNTIF('5. 기출'!$AJ$7:$AJ$2012,$AH61)))</f>
        <v/>
      </c>
      <c r="AO61" s="336" t="str">
        <f t="shared" si="280"/>
        <v/>
      </c>
      <c r="AP61" s="46"/>
      <c r="AQ61" s="432" t="str">
        <f>IF($AH61="","",IF($AH61="-",0, SUMIFS('5. 기출'!$AF$7:$AF$2012,'5. 기출'!$AJ$7:$AJ$2012,$AH61)))</f>
        <v/>
      </c>
      <c r="AR61" s="339" t="str">
        <f>IF($AH61="","",IF($AH61="-", 0, COUNTIF('5. 기출'!$AJ$7:$AJ$2012,$AH61)))</f>
        <v/>
      </c>
      <c r="AS61" s="336" t="str">
        <f t="shared" si="281"/>
        <v/>
      </c>
    </row>
    <row r="62" spans="1:45" s="19" customFormat="1" ht="80.099999999999994" customHeight="1">
      <c r="A62" s="126" t="str">
        <f>IF(D62="","",COUNTA($C$7:C62)-COUNTBLANK($C$7:C62)+14)</f>
        <v/>
      </c>
      <c r="B62" s="127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27" t="str">
        <f>IF(D62="","",IF(OR(D62="교육지원과",D62="총무과",D62="인사과"),"직접입력",VLOOKUP(D62,구분표!$A$3:$C$258,3,)))</f>
        <v/>
      </c>
      <c r="D62" s="194"/>
      <c r="E62" s="181"/>
      <c r="F62" s="350" t="str">
        <f t="shared" si="282"/>
        <v/>
      </c>
      <c r="G62" s="350" t="str">
        <f t="shared" si="282"/>
        <v/>
      </c>
      <c r="H62" s="182"/>
      <c r="I62" s="203" t="str">
        <f>IF(H62="","",VLOOKUP($H62,구분표!$O$3:$P$168,2,FALSE))</f>
        <v/>
      </c>
      <c r="J62" s="183"/>
      <c r="K62" s="419" t="str">
        <f t="shared" si="283"/>
        <v/>
      </c>
      <c r="L62" s="419" t="str">
        <f t="shared" si="284"/>
        <v/>
      </c>
      <c r="M62" s="421" t="str">
        <f t="shared" si="268"/>
        <v/>
      </c>
      <c r="N62" s="420"/>
      <c r="O62" s="421">
        <f t="shared" si="269"/>
        <v>0</v>
      </c>
      <c r="P62" s="422"/>
      <c r="Q62" s="423">
        <f t="shared" si="270"/>
        <v>0</v>
      </c>
      <c r="R62" s="133" t="str">
        <f t="shared" si="271"/>
        <v>X</v>
      </c>
      <c r="S62" s="198"/>
      <c r="T62" s="193"/>
      <c r="U62" s="185"/>
      <c r="V62" s="172"/>
      <c r="W62" s="133" t="str">
        <f t="shared" si="272"/>
        <v/>
      </c>
      <c r="X62" s="185"/>
      <c r="Y62" s="44"/>
      <c r="Z62" s="468" t="str">
        <f t="shared" si="273"/>
        <v/>
      </c>
      <c r="AA62" s="468" t="str">
        <f t="shared" si="274"/>
        <v/>
      </c>
      <c r="AB62" s="336" t="str">
        <f t="shared" si="275"/>
        <v/>
      </c>
      <c r="AC62" s="45"/>
      <c r="AD62" s="468" t="str">
        <f t="shared" si="276"/>
        <v/>
      </c>
      <c r="AE62" s="468" t="str">
        <f t="shared" si="277"/>
        <v/>
      </c>
      <c r="AF62" s="336" t="str">
        <f t="shared" si="278"/>
        <v/>
      </c>
      <c r="AG62" s="45"/>
      <c r="AH62" s="336" t="str">
        <f>IF(AK62="","",IF($W62="도비","-",CONCATENATE(AK62,"-",COUNTIF(AK$7:$AK62,AK62))))</f>
        <v/>
      </c>
      <c r="AI62" s="336" t="str">
        <f t="shared" si="279"/>
        <v/>
      </c>
      <c r="AJ62" s="45"/>
      <c r="AK62" s="336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32" t="str">
        <f>IF($AH62="","",IF($AH62="-",0, SUMIFS('5. 기출'!$AB$7:$AB$2012,'5. 기출'!$AJ$7:$AJ$2012,$AH62)))</f>
        <v/>
      </c>
      <c r="AN62" s="339" t="str">
        <f>IF($AH62="","",IF($AH62="-", 0, COUNTIF('5. 기출'!$AJ$7:$AJ$2012,$AH62)))</f>
        <v/>
      </c>
      <c r="AO62" s="336" t="str">
        <f t="shared" si="280"/>
        <v/>
      </c>
      <c r="AP62" s="46"/>
      <c r="AQ62" s="432" t="str">
        <f>IF($AH62="","",IF($AH62="-",0, SUMIFS('5. 기출'!$AF$7:$AF$2012,'5. 기출'!$AJ$7:$AJ$2012,$AH62)))</f>
        <v/>
      </c>
      <c r="AR62" s="339" t="str">
        <f>IF($AH62="","",IF($AH62="-", 0, COUNTIF('5. 기출'!$AJ$7:$AJ$2012,$AH62)))</f>
        <v/>
      </c>
      <c r="AS62" s="336" t="str">
        <f t="shared" si="281"/>
        <v/>
      </c>
    </row>
    <row r="63" spans="1:45" ht="60" customHeight="1">
      <c r="A63" s="141"/>
      <c r="B63" s="886" t="s">
        <v>788</v>
      </c>
      <c r="C63" s="886"/>
      <c r="D63" s="886"/>
      <c r="E63" s="886"/>
      <c r="F63" s="886"/>
      <c r="G63" s="886"/>
      <c r="H63" s="78"/>
      <c r="I63" s="78"/>
      <c r="J63" s="313" t="str">
        <f>SUBTOTAL(3,J64:J66)&amp;"건"</f>
        <v>0건</v>
      </c>
      <c r="K63" s="418">
        <f t="shared" ref="K63:Q63" si="285">SUBTOTAL(9,K64:K66)</f>
        <v>0</v>
      </c>
      <c r="L63" s="418">
        <f t="shared" si="285"/>
        <v>0</v>
      </c>
      <c r="M63" s="418">
        <f t="shared" si="285"/>
        <v>0</v>
      </c>
      <c r="N63" s="418">
        <f t="shared" si="285"/>
        <v>0</v>
      </c>
      <c r="O63" s="418">
        <f t="shared" si="285"/>
        <v>0</v>
      </c>
      <c r="P63" s="418">
        <f t="shared" si="285"/>
        <v>0</v>
      </c>
      <c r="Q63" s="418">
        <f t="shared" si="285"/>
        <v>0</v>
      </c>
      <c r="R63" s="77"/>
      <c r="S63" s="77"/>
      <c r="T63" s="77"/>
      <c r="U63" s="77"/>
      <c r="V63" s="77"/>
      <c r="W63" s="79"/>
      <c r="X63" s="79"/>
      <c r="Y63" s="42"/>
      <c r="Z63" s="418">
        <f>SUBTOTAL(9,Z64:Z66)</f>
        <v>0</v>
      </c>
      <c r="AA63" s="418">
        <f>SUBTOTAL(9,AA64:AA66)</f>
        <v>0</v>
      </c>
      <c r="AB63" s="511" t="str">
        <f>IF(COUNTIF(AB64:AB66,"@@")&gt;0,"@@","OK")</f>
        <v>OK</v>
      </c>
      <c r="AC63" s="43"/>
      <c r="AD63" s="418">
        <f>SUBTOTAL(9,AD64:AD66)</f>
        <v>0</v>
      </c>
      <c r="AE63" s="418">
        <f>SUBTOTAL(9,AE64:AE66)</f>
        <v>0</v>
      </c>
      <c r="AF63" s="511" t="str">
        <f>IF(COUNTIF(AF64:AF66,"@@")&gt;0,"@@","OK")</f>
        <v>OK</v>
      </c>
      <c r="AG63" s="43"/>
      <c r="AH63" s="141"/>
      <c r="AI63" s="141"/>
      <c r="AJ63" s="43"/>
      <c r="AK63" s="141"/>
      <c r="AL63" s="43"/>
      <c r="AM63" s="418">
        <f>SUBTOTAL(9,AM64:AM66)</f>
        <v>0</v>
      </c>
      <c r="AN63" s="418">
        <f>SUBTOTAL(9,AN64:AN66)</f>
        <v>0</v>
      </c>
      <c r="AO63" s="511" t="str">
        <f>IF(COUNTIF(AO64:AO66,"@@")&gt;0,"@@","OK")</f>
        <v>OK</v>
      </c>
      <c r="AP63" s="43"/>
      <c r="AQ63" s="418">
        <f t="shared" ref="AQ63" si="286">SUBTOTAL(9,AQ64:AQ66)</f>
        <v>0</v>
      </c>
      <c r="AR63" s="418">
        <f t="shared" ref="AR63" si="287">SUBTOTAL(9,AR64:AR66)</f>
        <v>0</v>
      </c>
      <c r="AS63" s="511" t="str">
        <f>IF(COUNTIF(AS64:AS66,"@@")&gt;0,"@@","OK")</f>
        <v>OK</v>
      </c>
    </row>
    <row r="64" spans="1:45" s="19" customFormat="1" ht="80.099999999999994" customHeight="1">
      <c r="A64" s="126" t="str">
        <f>IF(D64="","",COUNTA($C$7:C64)-COUNTBLANK($C$7:C64)+15)</f>
        <v/>
      </c>
      <c r="B64" s="127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27" t="str">
        <f>IF(D64="","",IF(OR(D64="교육지원과",D64="총무과",D64="인사과"),"직접입력",VLOOKUP(D64,구분표!$A$3:$C$258,3,)))</f>
        <v/>
      </c>
      <c r="D64" s="194"/>
      <c r="E64" s="181"/>
      <c r="F64" s="350" t="str">
        <f>IF($E64="","",IF($E64="2추","직접입력","-"))</f>
        <v/>
      </c>
      <c r="G64" s="350" t="str">
        <f>IF($E64="","",IF($E64="2추","직접입력","-"))</f>
        <v/>
      </c>
      <c r="H64" s="182"/>
      <c r="I64" s="203" t="str">
        <f>IF(H64="","",VLOOKUP($H64,구분표!$O$3:$P$168,2,FALSE))</f>
        <v/>
      </c>
      <c r="J64" s="183"/>
      <c r="K64" s="419" t="str">
        <f>IF($E64="","",IF(OR($E64="2추",  $E64="1추", $E64="본예산"), "금액입력", "-"))</f>
        <v/>
      </c>
      <c r="L64" s="419" t="str">
        <f>IF($E64="", "", IF($E64="2추","금액입력", "-"))</f>
        <v/>
      </c>
      <c r="M64" s="421" t="str">
        <f t="shared" ref="M64:M66" si="288">IF($E64="","",SUM(K64:L64))</f>
        <v/>
      </c>
      <c r="N64" s="420"/>
      <c r="O64" s="421">
        <f t="shared" ref="O64:O66" si="289">SUM(M64:N64)</f>
        <v>0</v>
      </c>
      <c r="P64" s="422"/>
      <c r="Q64" s="423">
        <f t="shared" ref="Q64:Q66" si="290">SUM(M64,P64)</f>
        <v>0</v>
      </c>
      <c r="R64" s="133" t="str">
        <f t="shared" ref="R64:R66" si="291">IF(AND((O64=0),(Q64&gt;0)),"O",IF(AND((N64&lt;0),(O64-Q64&lt;0)),"O","X"))</f>
        <v>X</v>
      </c>
      <c r="S64" s="198"/>
      <c r="T64" s="193"/>
      <c r="U64" s="185"/>
      <c r="V64" s="172"/>
      <c r="W64" s="133" t="str">
        <f t="shared" ref="W64:W66" si="292">IF($H64="","",IF(OR($H64="511-01", $H64="511-02", $H64="511-03", $H64="311-02", $H64="311-04", $H64="321-01"),"국도비","도비"))</f>
        <v/>
      </c>
      <c r="X64" s="185"/>
      <c r="Y64" s="44"/>
      <c r="Z64" s="468" t="str">
        <f t="shared" ref="Z64:Z66" si="293">IF($W64="", "", IF($W64="국도비",$N64, 0))</f>
        <v/>
      </c>
      <c r="AA64" s="468" t="str">
        <f t="shared" ref="AA64:AA66" si="294">IF($W64="", "", IF($W64="도비",$N64, 0))</f>
        <v/>
      </c>
      <c r="AB64" s="336" t="str">
        <f t="shared" ref="AB64:AB66" si="295">IF($W64="", "", IF($N64=SUM($Z64:$AA64),"OK","@@"))</f>
        <v/>
      </c>
      <c r="AC64" s="45"/>
      <c r="AD64" s="468" t="str">
        <f t="shared" ref="AD64:AD66" si="296">IF($W64="", "", IF($W64="국도비",$P64, 0))</f>
        <v/>
      </c>
      <c r="AE64" s="468" t="str">
        <f t="shared" ref="AE64:AE66" si="297">IF($W64="", "", IF($W64="도비",$P64, 0))</f>
        <v/>
      </c>
      <c r="AF64" s="336" t="str">
        <f t="shared" ref="AF64:AF66" si="298">IF($W64="", "", IF($P64=SUM($AD64:$AE64),"OK","@@"))</f>
        <v/>
      </c>
      <c r="AG64" s="45"/>
      <c r="AH64" s="336" t="str">
        <f>IF(AK64="","",IF($W64="도비","-",CONCATENATE(AK64,"-",COUNTIF(AK$7:$AK64,AK64))))</f>
        <v/>
      </c>
      <c r="AI64" s="336" t="str">
        <f t="shared" ref="AI64:AI66" si="299">IF($H64="","",IF($H64="511-01","국비",IF($H64="511-02","균특",IF($H64="511-03","기금",IF($H64="311-02","특교",IF($H64="311-04","소교",IF($H64="321-01","소멸","도비")))))))</f>
        <v/>
      </c>
      <c r="AJ64" s="45"/>
      <c r="AK64" s="336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32" t="str">
        <f>IF($AH64="","",IF($AH64="-",0, SUMIFS('5. 기출'!$AB$7:$AB$2012,'5. 기출'!$AJ$7:$AJ$2012,$AH64)))</f>
        <v/>
      </c>
      <c r="AN64" s="339" t="str">
        <f>IF($AH64="","",IF($AH64="-", 0, COUNTIF('5. 기출'!$AJ$7:$AJ$2012,$AH64)))</f>
        <v/>
      </c>
      <c r="AO64" s="336" t="str">
        <f t="shared" ref="AO64:AO66" si="300">IF($AH64="", "", IF($Z64=$AM64,"OK","@@"))</f>
        <v/>
      </c>
      <c r="AP64" s="46"/>
      <c r="AQ64" s="432" t="str">
        <f>IF($AH64="","",IF($AH64="-",0, SUMIFS('5. 기출'!$AF$7:$AF$2012,'5. 기출'!$AJ$7:$AJ$2012,$AH64)))</f>
        <v/>
      </c>
      <c r="AR64" s="339" t="str">
        <f>IF($AH64="","",IF($AH64="-", 0, COUNTIF('5. 기출'!$AJ$7:$AJ$2012,$AH64)))</f>
        <v/>
      </c>
      <c r="AS64" s="336" t="str">
        <f t="shared" ref="AS64:AS66" si="301">IF($AH64="", "", IF($AD64=$AQ64,"OK","@@"))</f>
        <v/>
      </c>
    </row>
    <row r="65" spans="1:45" s="19" customFormat="1" ht="80.099999999999994" customHeight="1">
      <c r="A65" s="126" t="str">
        <f>IF(D65="","",COUNTA($C$7:C65)-COUNTBLANK($C$7:C65)+15)</f>
        <v/>
      </c>
      <c r="B65" s="127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27" t="str">
        <f>IF(D65="","",IF(OR(D65="교육지원과",D65="총무과",D65="인사과"),"직접입력",VLOOKUP(D65,구분표!$A$3:$C$258,3,)))</f>
        <v/>
      </c>
      <c r="D65" s="194"/>
      <c r="E65" s="181"/>
      <c r="F65" s="350" t="str">
        <f t="shared" ref="F65:G66" si="302">IF($E65="","",IF($E65="2추","직접입력","-"))</f>
        <v/>
      </c>
      <c r="G65" s="350" t="str">
        <f t="shared" si="302"/>
        <v/>
      </c>
      <c r="H65" s="182"/>
      <c r="I65" s="203" t="str">
        <f>IF(H65="","",VLOOKUP($H65,구분표!$O$3:$P$168,2,FALSE))</f>
        <v/>
      </c>
      <c r="J65" s="183"/>
      <c r="K65" s="419" t="str">
        <f t="shared" ref="K65:K66" si="303">IF($E65="","",IF(OR($E65="2추",  $E65="1추", $E65="본예산"), "금액입력", "-"))</f>
        <v/>
      </c>
      <c r="L65" s="419" t="str">
        <f t="shared" ref="L65:L66" si="304">IF($E65="", "", IF($E65="2추","금액입력", "-"))</f>
        <v/>
      </c>
      <c r="M65" s="421" t="str">
        <f t="shared" si="288"/>
        <v/>
      </c>
      <c r="N65" s="420"/>
      <c r="O65" s="421">
        <f t="shared" si="289"/>
        <v>0</v>
      </c>
      <c r="P65" s="422"/>
      <c r="Q65" s="423">
        <f t="shared" si="290"/>
        <v>0</v>
      </c>
      <c r="R65" s="133" t="str">
        <f t="shared" si="291"/>
        <v>X</v>
      </c>
      <c r="S65" s="198"/>
      <c r="T65" s="193"/>
      <c r="U65" s="185"/>
      <c r="V65" s="172"/>
      <c r="W65" s="133" t="str">
        <f t="shared" si="292"/>
        <v/>
      </c>
      <c r="X65" s="185"/>
      <c r="Y65" s="44"/>
      <c r="Z65" s="468" t="str">
        <f t="shared" si="293"/>
        <v/>
      </c>
      <c r="AA65" s="468" t="str">
        <f t="shared" si="294"/>
        <v/>
      </c>
      <c r="AB65" s="336" t="str">
        <f t="shared" si="295"/>
        <v/>
      </c>
      <c r="AC65" s="45"/>
      <c r="AD65" s="468" t="str">
        <f t="shared" si="296"/>
        <v/>
      </c>
      <c r="AE65" s="468" t="str">
        <f t="shared" si="297"/>
        <v/>
      </c>
      <c r="AF65" s="336" t="str">
        <f t="shared" si="298"/>
        <v/>
      </c>
      <c r="AG65" s="45"/>
      <c r="AH65" s="336" t="str">
        <f>IF(AK65="","",IF($W65="도비","-",CONCATENATE(AK65,"-",COUNTIF(AK$7:$AK65,AK65))))</f>
        <v/>
      </c>
      <c r="AI65" s="336" t="str">
        <f t="shared" si="299"/>
        <v/>
      </c>
      <c r="AJ65" s="45"/>
      <c r="AK65" s="336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32" t="str">
        <f>IF($AH65="","",IF($AH65="-",0, SUMIFS('5. 기출'!$AB$7:$AB$2012,'5. 기출'!$AJ$7:$AJ$2012,$AH65)))</f>
        <v/>
      </c>
      <c r="AN65" s="339" t="str">
        <f>IF($AH65="","",IF($AH65="-", 0, COUNTIF('5. 기출'!$AJ$7:$AJ$2012,$AH65)))</f>
        <v/>
      </c>
      <c r="AO65" s="336" t="str">
        <f t="shared" si="300"/>
        <v/>
      </c>
      <c r="AP65" s="46"/>
      <c r="AQ65" s="432" t="str">
        <f>IF($AH65="","",IF($AH65="-",0, SUMIFS('5. 기출'!$AF$7:$AF$2012,'5. 기출'!$AJ$7:$AJ$2012,$AH65)))</f>
        <v/>
      </c>
      <c r="AR65" s="339" t="str">
        <f>IF($AH65="","",IF($AH65="-", 0, COUNTIF('5. 기출'!$AJ$7:$AJ$2012,$AH65)))</f>
        <v/>
      </c>
      <c r="AS65" s="336" t="str">
        <f t="shared" si="301"/>
        <v/>
      </c>
    </row>
    <row r="66" spans="1:45" s="19" customFormat="1" ht="80.099999999999994" customHeight="1">
      <c r="A66" s="126" t="str">
        <f>IF(D66="","",COUNTA($C$7:C66)-COUNTBLANK($C$7:C66)+15)</f>
        <v/>
      </c>
      <c r="B66" s="127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27" t="str">
        <f>IF(D66="","",IF(OR(D66="교육지원과",D66="총무과",D66="인사과"),"직접입력",VLOOKUP(D66,구분표!$A$3:$C$258,3,)))</f>
        <v/>
      </c>
      <c r="D66" s="194"/>
      <c r="E66" s="181"/>
      <c r="F66" s="350" t="str">
        <f t="shared" si="302"/>
        <v/>
      </c>
      <c r="G66" s="350" t="str">
        <f t="shared" si="302"/>
        <v/>
      </c>
      <c r="H66" s="182"/>
      <c r="I66" s="203" t="str">
        <f>IF(H66="","",VLOOKUP($H66,구분표!$O$3:$P$168,2,FALSE))</f>
        <v/>
      </c>
      <c r="J66" s="183"/>
      <c r="K66" s="419" t="str">
        <f t="shared" si="303"/>
        <v/>
      </c>
      <c r="L66" s="419" t="str">
        <f t="shared" si="304"/>
        <v/>
      </c>
      <c r="M66" s="421" t="str">
        <f t="shared" si="288"/>
        <v/>
      </c>
      <c r="N66" s="420"/>
      <c r="O66" s="421">
        <f t="shared" si="289"/>
        <v>0</v>
      </c>
      <c r="P66" s="422"/>
      <c r="Q66" s="423">
        <f t="shared" si="290"/>
        <v>0</v>
      </c>
      <c r="R66" s="133" t="str">
        <f t="shared" si="291"/>
        <v>X</v>
      </c>
      <c r="S66" s="198"/>
      <c r="T66" s="193"/>
      <c r="U66" s="185"/>
      <c r="V66" s="172"/>
      <c r="W66" s="133" t="str">
        <f t="shared" si="292"/>
        <v/>
      </c>
      <c r="X66" s="185"/>
      <c r="Y66" s="44"/>
      <c r="Z66" s="468" t="str">
        <f t="shared" si="293"/>
        <v/>
      </c>
      <c r="AA66" s="468" t="str">
        <f t="shared" si="294"/>
        <v/>
      </c>
      <c r="AB66" s="336" t="str">
        <f t="shared" si="295"/>
        <v/>
      </c>
      <c r="AC66" s="45"/>
      <c r="AD66" s="468" t="str">
        <f t="shared" si="296"/>
        <v/>
      </c>
      <c r="AE66" s="468" t="str">
        <f t="shared" si="297"/>
        <v/>
      </c>
      <c r="AF66" s="336" t="str">
        <f t="shared" si="298"/>
        <v/>
      </c>
      <c r="AG66" s="45"/>
      <c r="AH66" s="336" t="str">
        <f>IF(AK66="","",IF($W66="도비","-",CONCATENATE(AK66,"-",COUNTIF(AK$7:$AK66,AK66))))</f>
        <v/>
      </c>
      <c r="AI66" s="336" t="str">
        <f t="shared" si="299"/>
        <v/>
      </c>
      <c r="AJ66" s="45"/>
      <c r="AK66" s="336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32" t="str">
        <f>IF($AH66="","",IF($AH66="-",0, SUMIFS('5. 기출'!$AB$7:$AB$2012,'5. 기출'!$AJ$7:$AJ$2012,$AH66)))</f>
        <v/>
      </c>
      <c r="AN66" s="339" t="str">
        <f>IF($AH66="","",IF($AH66="-", 0, COUNTIF('5. 기출'!$AJ$7:$AJ$2012,$AH66)))</f>
        <v/>
      </c>
      <c r="AO66" s="336" t="str">
        <f t="shared" si="300"/>
        <v/>
      </c>
      <c r="AP66" s="46"/>
      <c r="AQ66" s="432" t="str">
        <f>IF($AH66="","",IF($AH66="-",0, SUMIFS('5. 기출'!$AF$7:$AF$2012,'5. 기출'!$AJ$7:$AJ$2012,$AH66)))</f>
        <v/>
      </c>
      <c r="AR66" s="339" t="str">
        <f>IF($AH66="","",IF($AH66="-", 0, COUNTIF('5. 기출'!$AJ$7:$AJ$2012,$AH66)))</f>
        <v/>
      </c>
      <c r="AS66" s="336" t="str">
        <f t="shared" si="301"/>
        <v/>
      </c>
    </row>
    <row r="67" spans="1:45" ht="60" customHeight="1">
      <c r="A67" s="141"/>
      <c r="B67" s="886" t="s">
        <v>789</v>
      </c>
      <c r="C67" s="886"/>
      <c r="D67" s="886"/>
      <c r="E67" s="886"/>
      <c r="F67" s="886"/>
      <c r="G67" s="886"/>
      <c r="H67" s="78"/>
      <c r="I67" s="78"/>
      <c r="J67" s="313" t="str">
        <f>SUBTOTAL(3,J68:J70)&amp;"건"</f>
        <v>0건</v>
      </c>
      <c r="K67" s="418">
        <f t="shared" ref="K67:Q67" si="305">SUBTOTAL(9,K68:K70)</f>
        <v>0</v>
      </c>
      <c r="L67" s="418">
        <f t="shared" si="305"/>
        <v>0</v>
      </c>
      <c r="M67" s="418">
        <f t="shared" si="305"/>
        <v>0</v>
      </c>
      <c r="N67" s="418">
        <f t="shared" si="305"/>
        <v>0</v>
      </c>
      <c r="O67" s="418">
        <f t="shared" si="305"/>
        <v>0</v>
      </c>
      <c r="P67" s="418">
        <f t="shared" si="305"/>
        <v>0</v>
      </c>
      <c r="Q67" s="418">
        <f t="shared" si="305"/>
        <v>0</v>
      </c>
      <c r="R67" s="77"/>
      <c r="S67" s="77"/>
      <c r="T67" s="77"/>
      <c r="U67" s="77"/>
      <c r="V67" s="77"/>
      <c r="W67" s="79"/>
      <c r="X67" s="79"/>
      <c r="Y67" s="42"/>
      <c r="Z67" s="418">
        <f>SUBTOTAL(9,Z68:Z70)</f>
        <v>0</v>
      </c>
      <c r="AA67" s="418">
        <f>SUBTOTAL(9,AA68:AA70)</f>
        <v>0</v>
      </c>
      <c r="AB67" s="511" t="str">
        <f>IF(COUNTIF(AB68:AB70,"@@")&gt;0,"@@","OK")</f>
        <v>OK</v>
      </c>
      <c r="AC67" s="43"/>
      <c r="AD67" s="418">
        <f>SUBTOTAL(9,AD68:AD70)</f>
        <v>0</v>
      </c>
      <c r="AE67" s="418">
        <f>SUBTOTAL(9,AE68:AE70)</f>
        <v>0</v>
      </c>
      <c r="AF67" s="511" t="str">
        <f>IF(COUNTIF(AF68:AF70,"@@")&gt;0,"@@","OK")</f>
        <v>OK</v>
      </c>
      <c r="AG67" s="43"/>
      <c r="AH67" s="141"/>
      <c r="AI67" s="141"/>
      <c r="AJ67" s="43"/>
      <c r="AK67" s="141"/>
      <c r="AL67" s="43"/>
      <c r="AM67" s="418">
        <f>SUBTOTAL(9,AM68:AM70)</f>
        <v>0</v>
      </c>
      <c r="AN67" s="418">
        <f>SUBTOTAL(9,AN68:AN70)</f>
        <v>0</v>
      </c>
      <c r="AO67" s="511" t="str">
        <f>IF(COUNTIF(AO68:AO70,"@@")&gt;0,"@@","OK")</f>
        <v>OK</v>
      </c>
      <c r="AP67" s="43"/>
      <c r="AQ67" s="418">
        <f t="shared" ref="AQ67" si="306">SUBTOTAL(9,AQ68:AQ70)</f>
        <v>0</v>
      </c>
      <c r="AR67" s="418">
        <f t="shared" ref="AR67" si="307">SUBTOTAL(9,AR68:AR70)</f>
        <v>0</v>
      </c>
      <c r="AS67" s="511" t="str">
        <f>IF(COUNTIF(AS68:AS70,"@@")&gt;0,"@@","OK")</f>
        <v>OK</v>
      </c>
    </row>
    <row r="68" spans="1:45" s="19" customFormat="1" ht="80.099999999999994" customHeight="1">
      <c r="A68" s="126" t="str">
        <f>IF(D68="","",COUNTA($C$7:C68)-COUNTBLANK($C$7:C68)+16)</f>
        <v/>
      </c>
      <c r="B68" s="127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27" t="str">
        <f>IF(D68="","",IF(OR(D68="교육지원과",D68="총무과",D68="인사과"),"직접입력",VLOOKUP(D68,구분표!$A$3:$C$258,3,)))</f>
        <v/>
      </c>
      <c r="D68" s="194"/>
      <c r="E68" s="181"/>
      <c r="F68" s="350" t="str">
        <f>IF($E68="","",IF($E68="2추","직접입력","-"))</f>
        <v/>
      </c>
      <c r="G68" s="350" t="str">
        <f>IF($E68="","",IF($E68="2추","직접입력","-"))</f>
        <v/>
      </c>
      <c r="H68" s="182"/>
      <c r="I68" s="203" t="str">
        <f>IF(H68="","",VLOOKUP($H68,구분표!$O$3:$P$168,2,FALSE))</f>
        <v/>
      </c>
      <c r="J68" s="183"/>
      <c r="K68" s="419" t="str">
        <f>IF($E68="","",IF(OR($E68="2추",  $E68="1추", $E68="본예산"), "금액입력", "-"))</f>
        <v/>
      </c>
      <c r="L68" s="419" t="str">
        <f>IF($E68="", "", IF($E68="2추","금액입력", "-"))</f>
        <v/>
      </c>
      <c r="M68" s="421" t="str">
        <f t="shared" ref="M68:M70" si="308">IF($E68="","",SUM(K68:L68))</f>
        <v/>
      </c>
      <c r="N68" s="420"/>
      <c r="O68" s="421">
        <f t="shared" ref="O68:O70" si="309">SUM(M68:N68)</f>
        <v>0</v>
      </c>
      <c r="P68" s="422"/>
      <c r="Q68" s="423">
        <f t="shared" ref="Q68:Q70" si="310">SUM(M68,P68)</f>
        <v>0</v>
      </c>
      <c r="R68" s="133" t="str">
        <f t="shared" ref="R68:R70" si="311">IF(AND((O68=0),(Q68&gt;0)),"O",IF(AND((N68&lt;0),(O68-Q68&lt;0)),"O","X"))</f>
        <v>X</v>
      </c>
      <c r="S68" s="198"/>
      <c r="T68" s="193"/>
      <c r="U68" s="185"/>
      <c r="V68" s="172"/>
      <c r="W68" s="133" t="str">
        <f t="shared" ref="W68:W70" si="312">IF($H68="","",IF(OR($H68="511-01", $H68="511-02", $H68="511-03", $H68="311-02", $H68="311-04", $H68="321-01"),"국도비","도비"))</f>
        <v/>
      </c>
      <c r="X68" s="185"/>
      <c r="Y68" s="44"/>
      <c r="Z68" s="468" t="str">
        <f t="shared" ref="Z68:Z70" si="313">IF($W68="", "", IF($W68="국도비",$N68, 0))</f>
        <v/>
      </c>
      <c r="AA68" s="468" t="str">
        <f t="shared" ref="AA68:AA70" si="314">IF($W68="", "", IF($W68="도비",$N68, 0))</f>
        <v/>
      </c>
      <c r="AB68" s="336" t="str">
        <f t="shared" ref="AB68:AB70" si="315">IF($W68="", "", IF($N68=SUM($Z68:$AA68),"OK","@@"))</f>
        <v/>
      </c>
      <c r="AC68" s="45"/>
      <c r="AD68" s="468" t="str">
        <f t="shared" ref="AD68:AD70" si="316">IF($W68="", "", IF($W68="국도비",$P68, 0))</f>
        <v/>
      </c>
      <c r="AE68" s="468" t="str">
        <f t="shared" ref="AE68:AE70" si="317">IF($W68="", "", IF($W68="도비",$P68, 0))</f>
        <v/>
      </c>
      <c r="AF68" s="336" t="str">
        <f t="shared" ref="AF68:AF70" si="318">IF($W68="", "", IF($P68=SUM($AD68:$AE68),"OK","@@"))</f>
        <v/>
      </c>
      <c r="AG68" s="45"/>
      <c r="AH68" s="336" t="str">
        <f>IF(AK68="","",IF($W68="도비","-",CONCATENATE(AK68,"-",COUNTIF(AK$7:$AK68,AK68))))</f>
        <v/>
      </c>
      <c r="AI68" s="336" t="str">
        <f t="shared" ref="AI68:AI70" si="319">IF($H68="","",IF($H68="511-01","국비",IF($H68="511-02","균특",IF($H68="511-03","기금",IF($H68="311-02","특교",IF($H68="311-04","소교",IF($H68="321-01","소멸","도비")))))))</f>
        <v/>
      </c>
      <c r="AJ68" s="45"/>
      <c r="AK68" s="336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32" t="str">
        <f>IF($AH68="","",IF($AH68="-",0, SUMIFS('5. 기출'!$AB$7:$AB$2012,'5. 기출'!$AJ$7:$AJ$2012,$AH68)))</f>
        <v/>
      </c>
      <c r="AN68" s="339" t="str">
        <f>IF($AH68="","",IF($AH68="-", 0, COUNTIF('5. 기출'!$AJ$7:$AJ$2012,$AH68)))</f>
        <v/>
      </c>
      <c r="AO68" s="336" t="str">
        <f t="shared" ref="AO68:AO70" si="320">IF($AH68="", "", IF($Z68=$AM68,"OK","@@"))</f>
        <v/>
      </c>
      <c r="AP68" s="46"/>
      <c r="AQ68" s="432" t="str">
        <f>IF($AH68="","",IF($AH68="-",0, SUMIFS('5. 기출'!$AF$7:$AF$2012,'5. 기출'!$AJ$7:$AJ$2012,$AH68)))</f>
        <v/>
      </c>
      <c r="AR68" s="339" t="str">
        <f>IF($AH68="","",IF($AH68="-", 0, COUNTIF('5. 기출'!$AJ$7:$AJ$2012,$AH68)))</f>
        <v/>
      </c>
      <c r="AS68" s="336" t="str">
        <f t="shared" ref="AS68:AS70" si="321">IF($AH68="", "", IF($AD68=$AQ68,"OK","@@"))</f>
        <v/>
      </c>
    </row>
    <row r="69" spans="1:45" s="19" customFormat="1" ht="80.099999999999994" customHeight="1">
      <c r="A69" s="126" t="str">
        <f>IF(D69="","",COUNTA($C$7:C69)-COUNTBLANK($C$7:C69)+16)</f>
        <v/>
      </c>
      <c r="B69" s="127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27" t="str">
        <f>IF(D69="","",IF(OR(D69="교육지원과",D69="총무과",D69="인사과"),"직접입력",VLOOKUP(D69,구분표!$A$3:$C$258,3,)))</f>
        <v/>
      </c>
      <c r="D69" s="194"/>
      <c r="E69" s="181"/>
      <c r="F69" s="350" t="str">
        <f t="shared" ref="F69:G70" si="322">IF($E69="","",IF($E69="2추","직접입력","-"))</f>
        <v/>
      </c>
      <c r="G69" s="350" t="str">
        <f t="shared" si="322"/>
        <v/>
      </c>
      <c r="H69" s="182"/>
      <c r="I69" s="203" t="str">
        <f>IF(H69="","",VLOOKUP($H69,구분표!$O$3:$P$168,2,FALSE))</f>
        <v/>
      </c>
      <c r="J69" s="183"/>
      <c r="K69" s="419" t="str">
        <f t="shared" ref="K69:K70" si="323">IF($E69="","",IF(OR($E69="2추",  $E69="1추", $E69="본예산"), "금액입력", "-"))</f>
        <v/>
      </c>
      <c r="L69" s="419" t="str">
        <f t="shared" ref="L69:L70" si="324">IF($E69="", "", IF($E69="2추","금액입력", "-"))</f>
        <v/>
      </c>
      <c r="M69" s="421" t="str">
        <f t="shared" si="308"/>
        <v/>
      </c>
      <c r="N69" s="420"/>
      <c r="O69" s="421">
        <f t="shared" si="309"/>
        <v>0</v>
      </c>
      <c r="P69" s="422"/>
      <c r="Q69" s="423">
        <f t="shared" si="310"/>
        <v>0</v>
      </c>
      <c r="R69" s="133" t="str">
        <f t="shared" si="311"/>
        <v>X</v>
      </c>
      <c r="S69" s="198"/>
      <c r="T69" s="193"/>
      <c r="U69" s="185"/>
      <c r="V69" s="172"/>
      <c r="W69" s="133" t="str">
        <f t="shared" si="312"/>
        <v/>
      </c>
      <c r="X69" s="185"/>
      <c r="Y69" s="44"/>
      <c r="Z69" s="468" t="str">
        <f t="shared" si="313"/>
        <v/>
      </c>
      <c r="AA69" s="468" t="str">
        <f t="shared" si="314"/>
        <v/>
      </c>
      <c r="AB69" s="336" t="str">
        <f t="shared" si="315"/>
        <v/>
      </c>
      <c r="AC69" s="45"/>
      <c r="AD69" s="468" t="str">
        <f t="shared" si="316"/>
        <v/>
      </c>
      <c r="AE69" s="468" t="str">
        <f t="shared" si="317"/>
        <v/>
      </c>
      <c r="AF69" s="336" t="str">
        <f t="shared" si="318"/>
        <v/>
      </c>
      <c r="AG69" s="45"/>
      <c r="AH69" s="336" t="str">
        <f>IF(AK69="","",IF($W69="도비","-",CONCATENATE(AK69,"-",COUNTIF(AK$7:$AK69,AK69))))</f>
        <v/>
      </c>
      <c r="AI69" s="336" t="str">
        <f t="shared" si="319"/>
        <v/>
      </c>
      <c r="AJ69" s="45"/>
      <c r="AK69" s="336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32" t="str">
        <f>IF($AH69="","",IF($AH69="-",0, SUMIFS('5. 기출'!$AB$7:$AB$2012,'5. 기출'!$AJ$7:$AJ$2012,$AH69)))</f>
        <v/>
      </c>
      <c r="AN69" s="339" t="str">
        <f>IF($AH69="","",IF($AH69="-", 0, COUNTIF('5. 기출'!$AJ$7:$AJ$2012,$AH69)))</f>
        <v/>
      </c>
      <c r="AO69" s="336" t="str">
        <f t="shared" si="320"/>
        <v/>
      </c>
      <c r="AP69" s="46"/>
      <c r="AQ69" s="432" t="str">
        <f>IF($AH69="","",IF($AH69="-",0, SUMIFS('5. 기출'!$AF$7:$AF$2012,'5. 기출'!$AJ$7:$AJ$2012,$AH69)))</f>
        <v/>
      </c>
      <c r="AR69" s="339" t="str">
        <f>IF($AH69="","",IF($AH69="-", 0, COUNTIF('5. 기출'!$AJ$7:$AJ$2012,$AH69)))</f>
        <v/>
      </c>
      <c r="AS69" s="336" t="str">
        <f t="shared" si="321"/>
        <v/>
      </c>
    </row>
    <row r="70" spans="1:45" s="19" customFormat="1" ht="80.099999999999994" customHeight="1">
      <c r="A70" s="126" t="str">
        <f>IF(D70="","",COUNTA($C$7:C70)-COUNTBLANK($C$7:C70)+16)</f>
        <v/>
      </c>
      <c r="B70" s="127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27" t="str">
        <f>IF(D70="","",IF(OR(D70="교육지원과",D70="총무과",D70="인사과"),"직접입력",VLOOKUP(D70,구분표!$A$3:$C$258,3,)))</f>
        <v/>
      </c>
      <c r="D70" s="194"/>
      <c r="E70" s="181"/>
      <c r="F70" s="350" t="str">
        <f t="shared" si="322"/>
        <v/>
      </c>
      <c r="G70" s="350" t="str">
        <f t="shared" si="322"/>
        <v/>
      </c>
      <c r="H70" s="182"/>
      <c r="I70" s="203" t="str">
        <f>IF(H70="","",VLOOKUP($H70,구분표!$O$3:$P$168,2,FALSE))</f>
        <v/>
      </c>
      <c r="J70" s="183"/>
      <c r="K70" s="419" t="str">
        <f t="shared" si="323"/>
        <v/>
      </c>
      <c r="L70" s="419" t="str">
        <f t="shared" si="324"/>
        <v/>
      </c>
      <c r="M70" s="421" t="str">
        <f t="shared" si="308"/>
        <v/>
      </c>
      <c r="N70" s="420"/>
      <c r="O70" s="421">
        <f t="shared" si="309"/>
        <v>0</v>
      </c>
      <c r="P70" s="422"/>
      <c r="Q70" s="423">
        <f t="shared" si="310"/>
        <v>0</v>
      </c>
      <c r="R70" s="133" t="str">
        <f t="shared" si="311"/>
        <v>X</v>
      </c>
      <c r="S70" s="198"/>
      <c r="T70" s="193"/>
      <c r="U70" s="185"/>
      <c r="V70" s="172"/>
      <c r="W70" s="133" t="str">
        <f t="shared" si="312"/>
        <v/>
      </c>
      <c r="X70" s="185"/>
      <c r="Y70" s="44"/>
      <c r="Z70" s="468" t="str">
        <f t="shared" si="313"/>
        <v/>
      </c>
      <c r="AA70" s="468" t="str">
        <f t="shared" si="314"/>
        <v/>
      </c>
      <c r="AB70" s="336" t="str">
        <f t="shared" si="315"/>
        <v/>
      </c>
      <c r="AC70" s="45"/>
      <c r="AD70" s="468" t="str">
        <f t="shared" si="316"/>
        <v/>
      </c>
      <c r="AE70" s="468" t="str">
        <f t="shared" si="317"/>
        <v/>
      </c>
      <c r="AF70" s="336" t="str">
        <f t="shared" si="318"/>
        <v/>
      </c>
      <c r="AG70" s="45"/>
      <c r="AH70" s="336" t="str">
        <f>IF(AK70="","",IF($W70="도비","-",CONCATENATE(AK70,"-",COUNTIF(AK$7:$AK70,AK70))))</f>
        <v/>
      </c>
      <c r="AI70" s="336" t="str">
        <f t="shared" si="319"/>
        <v/>
      </c>
      <c r="AJ70" s="45"/>
      <c r="AK70" s="336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32" t="str">
        <f>IF($AH70="","",IF($AH70="-",0, SUMIFS('5. 기출'!$AB$7:$AB$2012,'5. 기출'!$AJ$7:$AJ$2012,$AH70)))</f>
        <v/>
      </c>
      <c r="AN70" s="339" t="str">
        <f>IF($AH70="","",IF($AH70="-", 0, COUNTIF('5. 기출'!$AJ$7:$AJ$2012,$AH70)))</f>
        <v/>
      </c>
      <c r="AO70" s="336" t="str">
        <f t="shared" si="320"/>
        <v/>
      </c>
      <c r="AP70" s="46"/>
      <c r="AQ70" s="432" t="str">
        <f>IF($AH70="","",IF($AH70="-",0, SUMIFS('5. 기출'!$AF$7:$AF$2012,'5. 기출'!$AJ$7:$AJ$2012,$AH70)))</f>
        <v/>
      </c>
      <c r="AR70" s="339" t="str">
        <f>IF($AH70="","",IF($AH70="-", 0, COUNTIF('5. 기출'!$AJ$7:$AJ$2012,$AH70)))</f>
        <v/>
      </c>
      <c r="AS70" s="336" t="str">
        <f t="shared" si="321"/>
        <v/>
      </c>
    </row>
    <row r="71" spans="1:45" ht="60" customHeight="1">
      <c r="A71" s="141"/>
      <c r="B71" s="886" t="s">
        <v>790</v>
      </c>
      <c r="C71" s="886"/>
      <c r="D71" s="886"/>
      <c r="E71" s="886"/>
      <c r="F71" s="886"/>
      <c r="G71" s="886"/>
      <c r="H71" s="78"/>
      <c r="I71" s="78"/>
      <c r="J71" s="313" t="str">
        <f>SUBTOTAL(3,J72:J74)&amp;"건"</f>
        <v>0건</v>
      </c>
      <c r="K71" s="418">
        <f t="shared" ref="K71:Q71" si="325">SUBTOTAL(9,K72:K74)</f>
        <v>0</v>
      </c>
      <c r="L71" s="418">
        <f t="shared" si="325"/>
        <v>0</v>
      </c>
      <c r="M71" s="418">
        <f t="shared" si="325"/>
        <v>0</v>
      </c>
      <c r="N71" s="418">
        <f t="shared" si="325"/>
        <v>0</v>
      </c>
      <c r="O71" s="418">
        <f t="shared" si="325"/>
        <v>0</v>
      </c>
      <c r="P71" s="418">
        <f t="shared" si="325"/>
        <v>0</v>
      </c>
      <c r="Q71" s="418">
        <f t="shared" si="325"/>
        <v>0</v>
      </c>
      <c r="R71" s="77"/>
      <c r="S71" s="77"/>
      <c r="T71" s="77"/>
      <c r="U71" s="77"/>
      <c r="V71" s="77"/>
      <c r="W71" s="79"/>
      <c r="X71" s="79"/>
      <c r="Y71" s="42"/>
      <c r="Z71" s="418">
        <f>SUBTOTAL(9,Z72:Z74)</f>
        <v>0</v>
      </c>
      <c r="AA71" s="418">
        <f>SUBTOTAL(9,AA72:AA74)</f>
        <v>0</v>
      </c>
      <c r="AB71" s="511" t="str">
        <f>IF(COUNTIF(AB72:AB74,"@@")&gt;0,"@@","OK")</f>
        <v>OK</v>
      </c>
      <c r="AC71" s="43"/>
      <c r="AD71" s="418">
        <f>SUBTOTAL(9,AD72:AD74)</f>
        <v>0</v>
      </c>
      <c r="AE71" s="418">
        <f>SUBTOTAL(9,AE72:AE74)</f>
        <v>0</v>
      </c>
      <c r="AF71" s="511" t="str">
        <f>IF(COUNTIF(AF72:AF74,"@@")&gt;0,"@@","OK")</f>
        <v>OK</v>
      </c>
      <c r="AG71" s="43"/>
      <c r="AH71" s="141"/>
      <c r="AI71" s="141"/>
      <c r="AJ71" s="43"/>
      <c r="AK71" s="141"/>
      <c r="AL71" s="43"/>
      <c r="AM71" s="418">
        <f>SUBTOTAL(9,AM72:AM74)</f>
        <v>0</v>
      </c>
      <c r="AN71" s="418">
        <f>SUBTOTAL(9,AN72:AN74)</f>
        <v>0</v>
      </c>
      <c r="AO71" s="511" t="str">
        <f>IF(COUNTIF(AO72:AO74,"@@")&gt;0,"@@","OK")</f>
        <v>OK</v>
      </c>
      <c r="AP71" s="43"/>
      <c r="AQ71" s="418">
        <f t="shared" ref="AQ71" si="326">SUBTOTAL(9,AQ72:AQ74)</f>
        <v>0</v>
      </c>
      <c r="AR71" s="418">
        <f t="shared" ref="AR71" si="327">SUBTOTAL(9,AR72:AR74)</f>
        <v>0</v>
      </c>
      <c r="AS71" s="511" t="str">
        <f>IF(COUNTIF(AS72:AS74,"@@")&gt;0,"@@","OK")</f>
        <v>OK</v>
      </c>
    </row>
    <row r="72" spans="1:45" s="19" customFormat="1" ht="80.099999999999994" customHeight="1">
      <c r="A72" s="126" t="str">
        <f>IF(D72="","",COUNTA($C$7:C72)-COUNTBLANK($C$7:C72)+17)</f>
        <v/>
      </c>
      <c r="B72" s="127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27" t="str">
        <f>IF(D72="","",IF(OR(D72="교육지원과",D72="총무과",D72="인사과"),"직접입력",VLOOKUP(D72,구분표!$A$3:$C$258,3,)))</f>
        <v/>
      </c>
      <c r="D72" s="194"/>
      <c r="E72" s="181"/>
      <c r="F72" s="350" t="str">
        <f>IF($E72="","",IF($E72="2추","직접입력","-"))</f>
        <v/>
      </c>
      <c r="G72" s="350" t="str">
        <f>IF($E72="","",IF($E72="2추","직접입력","-"))</f>
        <v/>
      </c>
      <c r="H72" s="182"/>
      <c r="I72" s="203" t="str">
        <f>IF(H72="","",VLOOKUP($H72,구분표!$O$3:$P$168,2,FALSE))</f>
        <v/>
      </c>
      <c r="J72" s="183"/>
      <c r="K72" s="419" t="str">
        <f>IF($E72="","",IF(OR($E72="2추",  $E72="1추", $E72="본예산"), "금액입력", "-"))</f>
        <v/>
      </c>
      <c r="L72" s="419" t="str">
        <f>IF($E72="", "", IF($E72="2추","금액입력", "-"))</f>
        <v/>
      </c>
      <c r="M72" s="421" t="str">
        <f t="shared" ref="M72:M74" si="328">IF($E72="","",SUM(K72:L72))</f>
        <v/>
      </c>
      <c r="N72" s="420"/>
      <c r="O72" s="421">
        <f t="shared" ref="O72:O74" si="329">SUM(M72:N72)</f>
        <v>0</v>
      </c>
      <c r="P72" s="422"/>
      <c r="Q72" s="423">
        <f t="shared" ref="Q72:Q74" si="330">SUM(M72,P72)</f>
        <v>0</v>
      </c>
      <c r="R72" s="133" t="str">
        <f t="shared" ref="R72:R74" si="331">IF(AND((O72=0),(Q72&gt;0)),"O",IF(AND((N72&lt;0),(O72-Q72&lt;0)),"O","X"))</f>
        <v>X</v>
      </c>
      <c r="S72" s="198"/>
      <c r="T72" s="193"/>
      <c r="U72" s="185"/>
      <c r="V72" s="172"/>
      <c r="W72" s="133" t="str">
        <f t="shared" ref="W72:W74" si="332">IF($H72="","",IF(OR($H72="511-01", $H72="511-02", $H72="511-03", $H72="311-02", $H72="311-04", $H72="321-01"),"국도비","도비"))</f>
        <v/>
      </c>
      <c r="X72" s="185"/>
      <c r="Y72" s="44"/>
      <c r="Z72" s="468" t="str">
        <f t="shared" ref="Z72:Z74" si="333">IF($W72="", "", IF($W72="국도비",$N72, 0))</f>
        <v/>
      </c>
      <c r="AA72" s="468" t="str">
        <f t="shared" ref="AA72:AA74" si="334">IF($W72="", "", IF($W72="도비",$N72, 0))</f>
        <v/>
      </c>
      <c r="AB72" s="336" t="str">
        <f t="shared" ref="AB72:AB74" si="335">IF($W72="", "", IF($N72=SUM($Z72:$AA72),"OK","@@"))</f>
        <v/>
      </c>
      <c r="AC72" s="45"/>
      <c r="AD72" s="468" t="str">
        <f t="shared" ref="AD72:AD74" si="336">IF($W72="", "", IF($W72="국도비",$P72, 0))</f>
        <v/>
      </c>
      <c r="AE72" s="468" t="str">
        <f t="shared" ref="AE72:AE74" si="337">IF($W72="", "", IF($W72="도비",$P72, 0))</f>
        <v/>
      </c>
      <c r="AF72" s="336" t="str">
        <f t="shared" ref="AF72:AF74" si="338">IF($W72="", "", IF($P72=SUM($AD72:$AE72),"OK","@@"))</f>
        <v/>
      </c>
      <c r="AG72" s="45"/>
      <c r="AH72" s="336" t="str">
        <f>IF(AK72="","",IF($W72="도비","-",CONCATENATE(AK72,"-",COUNTIF(AK$7:$AK72,AK72))))</f>
        <v/>
      </c>
      <c r="AI72" s="336" t="str">
        <f t="shared" ref="AI72:AI74" si="339">IF($H72="","",IF($H72="511-01","국비",IF($H72="511-02","균특",IF($H72="511-03","기금",IF($H72="311-02","특교",IF($H72="311-04","소교",IF($H72="321-01","소멸","도비")))))))</f>
        <v/>
      </c>
      <c r="AJ72" s="45"/>
      <c r="AK72" s="336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32" t="str">
        <f>IF($AH72="","",IF($AH72="-",0, SUMIFS('5. 기출'!$AB$7:$AB$2012,'5. 기출'!$AJ$7:$AJ$2012,$AH72)))</f>
        <v/>
      </c>
      <c r="AN72" s="339" t="str">
        <f>IF($AH72="","",IF($AH72="-", 0, COUNTIF('5. 기출'!$AJ$7:$AJ$2012,$AH72)))</f>
        <v/>
      </c>
      <c r="AO72" s="336" t="str">
        <f t="shared" ref="AO72:AO74" si="340">IF($AH72="", "", IF($Z72=$AM72,"OK","@@"))</f>
        <v/>
      </c>
      <c r="AP72" s="46"/>
      <c r="AQ72" s="432" t="str">
        <f>IF($AH72="","",IF($AH72="-",0, SUMIFS('5. 기출'!$AF$7:$AF$2012,'5. 기출'!$AJ$7:$AJ$2012,$AH72)))</f>
        <v/>
      </c>
      <c r="AR72" s="339" t="str">
        <f>IF($AH72="","",IF($AH72="-", 0, COUNTIF('5. 기출'!$AJ$7:$AJ$2012,$AH72)))</f>
        <v/>
      </c>
      <c r="AS72" s="336" t="str">
        <f t="shared" ref="AS72:AS74" si="341">IF($AH72="", "", IF($AD72=$AQ72,"OK","@@"))</f>
        <v/>
      </c>
    </row>
    <row r="73" spans="1:45" s="19" customFormat="1" ht="80.099999999999994" customHeight="1">
      <c r="A73" s="126" t="str">
        <f>IF(D73="","",COUNTA($C$7:C73)-COUNTBLANK($C$7:C73)+17)</f>
        <v/>
      </c>
      <c r="B73" s="127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27" t="str">
        <f>IF(D73="","",IF(OR(D73="교육지원과",D73="총무과",D73="인사과"),"직접입력",VLOOKUP(D73,구분표!$A$3:$C$258,3,)))</f>
        <v/>
      </c>
      <c r="D73" s="194"/>
      <c r="E73" s="181"/>
      <c r="F73" s="350" t="str">
        <f t="shared" ref="F73:G74" si="342">IF($E73="","",IF($E73="2추","직접입력","-"))</f>
        <v/>
      </c>
      <c r="G73" s="350" t="str">
        <f t="shared" si="342"/>
        <v/>
      </c>
      <c r="H73" s="182"/>
      <c r="I73" s="203" t="str">
        <f>IF(H73="","",VLOOKUP($H73,구분표!$O$3:$P$168,2,FALSE))</f>
        <v/>
      </c>
      <c r="J73" s="183"/>
      <c r="K73" s="419" t="str">
        <f t="shared" ref="K73:K74" si="343">IF($E73="","",IF(OR($E73="2추",  $E73="1추", $E73="본예산"), "금액입력", "-"))</f>
        <v/>
      </c>
      <c r="L73" s="419" t="str">
        <f t="shared" ref="L73:L74" si="344">IF($E73="", "", IF($E73="2추","금액입력", "-"))</f>
        <v/>
      </c>
      <c r="M73" s="421" t="str">
        <f t="shared" si="328"/>
        <v/>
      </c>
      <c r="N73" s="420"/>
      <c r="O73" s="421">
        <f t="shared" si="329"/>
        <v>0</v>
      </c>
      <c r="P73" s="422"/>
      <c r="Q73" s="423">
        <f t="shared" si="330"/>
        <v>0</v>
      </c>
      <c r="R73" s="133" t="str">
        <f t="shared" si="331"/>
        <v>X</v>
      </c>
      <c r="S73" s="198"/>
      <c r="T73" s="193"/>
      <c r="U73" s="185"/>
      <c r="V73" s="172"/>
      <c r="W73" s="133" t="str">
        <f t="shared" si="332"/>
        <v/>
      </c>
      <c r="X73" s="185"/>
      <c r="Y73" s="44"/>
      <c r="Z73" s="468" t="str">
        <f t="shared" si="333"/>
        <v/>
      </c>
      <c r="AA73" s="468" t="str">
        <f t="shared" si="334"/>
        <v/>
      </c>
      <c r="AB73" s="336" t="str">
        <f t="shared" si="335"/>
        <v/>
      </c>
      <c r="AC73" s="45"/>
      <c r="AD73" s="468" t="str">
        <f t="shared" si="336"/>
        <v/>
      </c>
      <c r="AE73" s="468" t="str">
        <f t="shared" si="337"/>
        <v/>
      </c>
      <c r="AF73" s="336" t="str">
        <f t="shared" si="338"/>
        <v/>
      </c>
      <c r="AG73" s="45"/>
      <c r="AH73" s="336" t="str">
        <f>IF(AK73="","",IF($W73="도비","-",CONCATENATE(AK73,"-",COUNTIF(AK$7:$AK73,AK73))))</f>
        <v/>
      </c>
      <c r="AI73" s="336" t="str">
        <f t="shared" si="339"/>
        <v/>
      </c>
      <c r="AJ73" s="45"/>
      <c r="AK73" s="336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32" t="str">
        <f>IF($AH73="","",IF($AH73="-",0, SUMIFS('5. 기출'!$AB$7:$AB$2012,'5. 기출'!$AJ$7:$AJ$2012,$AH73)))</f>
        <v/>
      </c>
      <c r="AN73" s="339" t="str">
        <f>IF($AH73="","",IF($AH73="-", 0, COUNTIF('5. 기출'!$AJ$7:$AJ$2012,$AH73)))</f>
        <v/>
      </c>
      <c r="AO73" s="336" t="str">
        <f t="shared" si="340"/>
        <v/>
      </c>
      <c r="AP73" s="46"/>
      <c r="AQ73" s="432" t="str">
        <f>IF($AH73="","",IF($AH73="-",0, SUMIFS('5. 기출'!$AF$7:$AF$2012,'5. 기출'!$AJ$7:$AJ$2012,$AH73)))</f>
        <v/>
      </c>
      <c r="AR73" s="339" t="str">
        <f>IF($AH73="","",IF($AH73="-", 0, COUNTIF('5. 기출'!$AJ$7:$AJ$2012,$AH73)))</f>
        <v/>
      </c>
      <c r="AS73" s="336" t="str">
        <f t="shared" si="341"/>
        <v/>
      </c>
    </row>
    <row r="74" spans="1:45" s="19" customFormat="1" ht="80.099999999999994" customHeight="1">
      <c r="A74" s="126" t="str">
        <f>IF(D74="","",COUNTA($C$7:C74)-COUNTBLANK($C$7:C74)+17)</f>
        <v/>
      </c>
      <c r="B74" s="127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27" t="str">
        <f>IF(D74="","",IF(OR(D74="교육지원과",D74="총무과",D74="인사과"),"직접입력",VLOOKUP(D74,구분표!$A$3:$C$258,3,)))</f>
        <v/>
      </c>
      <c r="D74" s="194"/>
      <c r="E74" s="181"/>
      <c r="F74" s="350" t="str">
        <f t="shared" si="342"/>
        <v/>
      </c>
      <c r="G74" s="350" t="str">
        <f t="shared" si="342"/>
        <v/>
      </c>
      <c r="H74" s="182"/>
      <c r="I74" s="203" t="str">
        <f>IF(H74="","",VLOOKUP($H74,구분표!$O$3:$P$168,2,FALSE))</f>
        <v/>
      </c>
      <c r="J74" s="183"/>
      <c r="K74" s="419" t="str">
        <f t="shared" si="343"/>
        <v/>
      </c>
      <c r="L74" s="419" t="str">
        <f t="shared" si="344"/>
        <v/>
      </c>
      <c r="M74" s="421" t="str">
        <f t="shared" si="328"/>
        <v/>
      </c>
      <c r="N74" s="420"/>
      <c r="O74" s="421">
        <f t="shared" si="329"/>
        <v>0</v>
      </c>
      <c r="P74" s="422"/>
      <c r="Q74" s="423">
        <f t="shared" si="330"/>
        <v>0</v>
      </c>
      <c r="R74" s="133" t="str">
        <f t="shared" si="331"/>
        <v>X</v>
      </c>
      <c r="S74" s="198"/>
      <c r="T74" s="193"/>
      <c r="U74" s="185"/>
      <c r="V74" s="172"/>
      <c r="W74" s="133" t="str">
        <f t="shared" si="332"/>
        <v/>
      </c>
      <c r="X74" s="185"/>
      <c r="Y74" s="44"/>
      <c r="Z74" s="468" t="str">
        <f t="shared" si="333"/>
        <v/>
      </c>
      <c r="AA74" s="468" t="str">
        <f t="shared" si="334"/>
        <v/>
      </c>
      <c r="AB74" s="336" t="str">
        <f t="shared" si="335"/>
        <v/>
      </c>
      <c r="AC74" s="45"/>
      <c r="AD74" s="468" t="str">
        <f t="shared" si="336"/>
        <v/>
      </c>
      <c r="AE74" s="468" t="str">
        <f t="shared" si="337"/>
        <v/>
      </c>
      <c r="AF74" s="336" t="str">
        <f t="shared" si="338"/>
        <v/>
      </c>
      <c r="AG74" s="45"/>
      <c r="AH74" s="336" t="str">
        <f>IF(AK74="","",IF($W74="도비","-",CONCATENATE(AK74,"-",COUNTIF(AK$7:$AK74,AK74))))</f>
        <v/>
      </c>
      <c r="AI74" s="336" t="str">
        <f t="shared" si="339"/>
        <v/>
      </c>
      <c r="AJ74" s="45"/>
      <c r="AK74" s="336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32" t="str">
        <f>IF($AH74="","",IF($AH74="-",0, SUMIFS('5. 기출'!$AB$7:$AB$2012,'5. 기출'!$AJ$7:$AJ$2012,$AH74)))</f>
        <v/>
      </c>
      <c r="AN74" s="339" t="str">
        <f>IF($AH74="","",IF($AH74="-", 0, COUNTIF('5. 기출'!$AJ$7:$AJ$2012,$AH74)))</f>
        <v/>
      </c>
      <c r="AO74" s="336" t="str">
        <f t="shared" si="340"/>
        <v/>
      </c>
      <c r="AP74" s="46"/>
      <c r="AQ74" s="432" t="str">
        <f>IF($AH74="","",IF($AH74="-",0, SUMIFS('5. 기출'!$AF$7:$AF$2012,'5. 기출'!$AJ$7:$AJ$2012,$AH74)))</f>
        <v/>
      </c>
      <c r="AR74" s="339" t="str">
        <f>IF($AH74="","",IF($AH74="-", 0, COUNTIF('5. 기출'!$AJ$7:$AJ$2012,$AH74)))</f>
        <v/>
      </c>
      <c r="AS74" s="336" t="str">
        <f t="shared" si="341"/>
        <v/>
      </c>
    </row>
    <row r="75" spans="1:45" ht="60" customHeight="1">
      <c r="A75" s="141"/>
      <c r="B75" s="886" t="s">
        <v>791</v>
      </c>
      <c r="C75" s="886"/>
      <c r="D75" s="886"/>
      <c r="E75" s="886"/>
      <c r="F75" s="886"/>
      <c r="G75" s="886"/>
      <c r="H75" s="78"/>
      <c r="I75" s="78"/>
      <c r="J75" s="313" t="str">
        <f>SUBTOTAL(3,J76:J78)&amp;"건"</f>
        <v>0건</v>
      </c>
      <c r="K75" s="418">
        <f t="shared" ref="K75:Q75" si="345">SUBTOTAL(9,K76:K78)</f>
        <v>0</v>
      </c>
      <c r="L75" s="418">
        <f t="shared" si="345"/>
        <v>0</v>
      </c>
      <c r="M75" s="418">
        <f t="shared" si="345"/>
        <v>0</v>
      </c>
      <c r="N75" s="418">
        <f t="shared" si="345"/>
        <v>0</v>
      </c>
      <c r="O75" s="418">
        <f t="shared" si="345"/>
        <v>0</v>
      </c>
      <c r="P75" s="418">
        <f t="shared" si="345"/>
        <v>0</v>
      </c>
      <c r="Q75" s="418">
        <f t="shared" si="345"/>
        <v>0</v>
      </c>
      <c r="R75" s="77"/>
      <c r="S75" s="77"/>
      <c r="T75" s="77"/>
      <c r="U75" s="77"/>
      <c r="V75" s="77"/>
      <c r="W75" s="79"/>
      <c r="X75" s="79"/>
      <c r="Y75" s="42"/>
      <c r="Z75" s="418">
        <f>SUBTOTAL(9,Z76:Z78)</f>
        <v>0</v>
      </c>
      <c r="AA75" s="418">
        <f>SUBTOTAL(9,AA76:AA78)</f>
        <v>0</v>
      </c>
      <c r="AB75" s="511" t="str">
        <f>IF(COUNTIF(AB76:AB78,"@@")&gt;0,"@@","OK")</f>
        <v>OK</v>
      </c>
      <c r="AC75" s="43"/>
      <c r="AD75" s="418">
        <f>SUBTOTAL(9,AD76:AD78)</f>
        <v>0</v>
      </c>
      <c r="AE75" s="418">
        <f>SUBTOTAL(9,AE76:AE78)</f>
        <v>0</v>
      </c>
      <c r="AF75" s="511" t="str">
        <f>IF(COUNTIF(AF76:AF78,"@@")&gt;0,"@@","OK")</f>
        <v>OK</v>
      </c>
      <c r="AG75" s="43"/>
      <c r="AH75" s="141"/>
      <c r="AI75" s="141"/>
      <c r="AJ75" s="43"/>
      <c r="AK75" s="141"/>
      <c r="AL75" s="43"/>
      <c r="AM75" s="418">
        <f>SUBTOTAL(9,AM76:AM78)</f>
        <v>0</v>
      </c>
      <c r="AN75" s="418">
        <f>SUBTOTAL(9,AN76:AN78)</f>
        <v>0</v>
      </c>
      <c r="AO75" s="511" t="str">
        <f>IF(COUNTIF(AO76:AO78,"@@")&gt;0,"@@","OK")</f>
        <v>OK</v>
      </c>
      <c r="AP75" s="43"/>
      <c r="AQ75" s="418">
        <f t="shared" ref="AQ75" si="346">SUBTOTAL(9,AQ76:AQ78)</f>
        <v>0</v>
      </c>
      <c r="AR75" s="418">
        <f t="shared" ref="AR75" si="347">SUBTOTAL(9,AR76:AR78)</f>
        <v>0</v>
      </c>
      <c r="AS75" s="511" t="str">
        <f>IF(COUNTIF(AS76:AS78,"@@")&gt;0,"@@","OK")</f>
        <v>OK</v>
      </c>
    </row>
    <row r="76" spans="1:45" s="19" customFormat="1" ht="80.099999999999994" customHeight="1">
      <c r="A76" s="126" t="str">
        <f>IF(D76="","",COUNTA($C$7:C76)-COUNTBLANK($C$7:C76)+18)</f>
        <v/>
      </c>
      <c r="B76" s="127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27" t="str">
        <f>IF(D76="","",IF(OR(D76="교육지원과",D76="총무과",D76="인사과"),"직접입력",VLOOKUP(D76,구분표!$A$3:$C$258,3,)))</f>
        <v/>
      </c>
      <c r="D76" s="194"/>
      <c r="E76" s="181"/>
      <c r="F76" s="350" t="str">
        <f>IF($E76="","",IF($E76="2추","직접입력","-"))</f>
        <v/>
      </c>
      <c r="G76" s="350" t="str">
        <f>IF($E76="","",IF($E76="2추","직접입력","-"))</f>
        <v/>
      </c>
      <c r="H76" s="182"/>
      <c r="I76" s="203" t="str">
        <f>IF(H76="","",VLOOKUP($H76,구분표!$O$3:$P$168,2,FALSE))</f>
        <v/>
      </c>
      <c r="J76" s="183"/>
      <c r="K76" s="419" t="str">
        <f>IF($E76="","",IF(OR($E76="2추",  $E76="1추", $E76="본예산"), "금액입력", "-"))</f>
        <v/>
      </c>
      <c r="L76" s="419" t="str">
        <f>IF($E76="", "", IF($E76="2추","금액입력", "-"))</f>
        <v/>
      </c>
      <c r="M76" s="421" t="str">
        <f t="shared" ref="M76:M78" si="348">IF($E76="","",SUM(K76:L76))</f>
        <v/>
      </c>
      <c r="N76" s="420"/>
      <c r="O76" s="421">
        <f t="shared" ref="O76:O78" si="349">SUM(M76:N76)</f>
        <v>0</v>
      </c>
      <c r="P76" s="422"/>
      <c r="Q76" s="423">
        <f t="shared" ref="Q76:Q78" si="350">SUM(M76,P76)</f>
        <v>0</v>
      </c>
      <c r="R76" s="133" t="str">
        <f t="shared" ref="R76:R78" si="351">IF(AND((O76=0),(Q76&gt;0)),"O",IF(AND((N76&lt;0),(O76-Q76&lt;0)),"O","X"))</f>
        <v>X</v>
      </c>
      <c r="S76" s="198"/>
      <c r="T76" s="193"/>
      <c r="U76" s="185"/>
      <c r="V76" s="172"/>
      <c r="W76" s="133" t="str">
        <f t="shared" ref="W76:W78" si="352">IF($H76="","",IF(OR($H76="511-01", $H76="511-02", $H76="511-03", $H76="311-02", $H76="311-04", $H76="321-01"),"국도비","도비"))</f>
        <v/>
      </c>
      <c r="X76" s="185"/>
      <c r="Y76" s="44"/>
      <c r="Z76" s="468" t="str">
        <f t="shared" ref="Z76:Z78" si="353">IF($W76="", "", IF($W76="국도비",$N76, 0))</f>
        <v/>
      </c>
      <c r="AA76" s="468" t="str">
        <f t="shared" ref="AA76:AA78" si="354">IF($W76="", "", IF($W76="도비",$N76, 0))</f>
        <v/>
      </c>
      <c r="AB76" s="336" t="str">
        <f t="shared" ref="AB76:AB78" si="355">IF($W76="", "", IF($N76=SUM($Z76:$AA76),"OK","@@"))</f>
        <v/>
      </c>
      <c r="AC76" s="45"/>
      <c r="AD76" s="468" t="str">
        <f t="shared" ref="AD76:AD78" si="356">IF($W76="", "", IF($W76="국도비",$P76, 0))</f>
        <v/>
      </c>
      <c r="AE76" s="468" t="str">
        <f t="shared" ref="AE76:AE78" si="357">IF($W76="", "", IF($W76="도비",$P76, 0))</f>
        <v/>
      </c>
      <c r="AF76" s="336" t="str">
        <f t="shared" ref="AF76:AF78" si="358">IF($W76="", "", IF($P76=SUM($AD76:$AE76),"OK","@@"))</f>
        <v/>
      </c>
      <c r="AG76" s="45"/>
      <c r="AH76" s="336" t="str">
        <f>IF(AK76="","",IF($W76="도비","-",CONCATENATE(AK76,"-",COUNTIF(AK$7:$AK76,AK76))))</f>
        <v/>
      </c>
      <c r="AI76" s="336" t="str">
        <f t="shared" ref="AI76:AI78" si="359">IF($H76="","",IF($H76="511-01","국비",IF($H76="511-02","균특",IF($H76="511-03","기금",IF($H76="311-02","특교",IF($H76="311-04","소교",IF($H76="321-01","소멸","도비")))))))</f>
        <v/>
      </c>
      <c r="AJ76" s="45"/>
      <c r="AK76" s="336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32" t="str">
        <f>IF($AH76="","",IF($AH76="-",0, SUMIFS('5. 기출'!$AB$7:$AB$2012,'5. 기출'!$AJ$7:$AJ$2012,$AH76)))</f>
        <v/>
      </c>
      <c r="AN76" s="339" t="str">
        <f>IF($AH76="","",IF($AH76="-", 0, COUNTIF('5. 기출'!$AJ$7:$AJ$2012,$AH76)))</f>
        <v/>
      </c>
      <c r="AO76" s="336" t="str">
        <f t="shared" ref="AO76:AO78" si="360">IF($AH76="", "", IF($Z76=$AM76,"OK","@@"))</f>
        <v/>
      </c>
      <c r="AP76" s="46"/>
      <c r="AQ76" s="432" t="str">
        <f>IF($AH76="","",IF($AH76="-",0, SUMIFS('5. 기출'!$AF$7:$AF$2012,'5. 기출'!$AJ$7:$AJ$2012,$AH76)))</f>
        <v/>
      </c>
      <c r="AR76" s="339" t="str">
        <f>IF($AH76="","",IF($AH76="-", 0, COUNTIF('5. 기출'!$AJ$7:$AJ$2012,$AH76)))</f>
        <v/>
      </c>
      <c r="AS76" s="336" t="str">
        <f t="shared" ref="AS76:AS78" si="361">IF($AH76="", "", IF($AD76=$AQ76,"OK","@@"))</f>
        <v/>
      </c>
    </row>
    <row r="77" spans="1:45" s="19" customFormat="1" ht="80.099999999999994" customHeight="1">
      <c r="A77" s="126" t="str">
        <f>IF(D77="","",COUNTA($C$7:C77)-COUNTBLANK($C$7:C77)+18)</f>
        <v/>
      </c>
      <c r="B77" s="127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27" t="str">
        <f>IF(D77="","",IF(OR(D77="교육지원과",D77="총무과",D77="인사과"),"직접입력",VLOOKUP(D77,구분표!$A$3:$C$258,3,)))</f>
        <v/>
      </c>
      <c r="D77" s="194"/>
      <c r="E77" s="181"/>
      <c r="F77" s="350" t="str">
        <f t="shared" ref="F77:G78" si="362">IF($E77="","",IF($E77="2추","직접입력","-"))</f>
        <v/>
      </c>
      <c r="G77" s="350" t="str">
        <f t="shared" si="362"/>
        <v/>
      </c>
      <c r="H77" s="182"/>
      <c r="I77" s="203" t="str">
        <f>IF(H77="","",VLOOKUP($H77,구분표!$O$3:$P$168,2,FALSE))</f>
        <v/>
      </c>
      <c r="J77" s="183"/>
      <c r="K77" s="419" t="str">
        <f t="shared" ref="K77:K78" si="363">IF($E77="","",IF(OR($E77="2추",  $E77="1추", $E77="본예산"), "금액입력", "-"))</f>
        <v/>
      </c>
      <c r="L77" s="419" t="str">
        <f t="shared" ref="L77:L78" si="364">IF($E77="", "", IF($E77="2추","금액입력", "-"))</f>
        <v/>
      </c>
      <c r="M77" s="421" t="str">
        <f t="shared" si="348"/>
        <v/>
      </c>
      <c r="N77" s="420"/>
      <c r="O77" s="421">
        <f t="shared" si="349"/>
        <v>0</v>
      </c>
      <c r="P77" s="422"/>
      <c r="Q77" s="423">
        <f t="shared" si="350"/>
        <v>0</v>
      </c>
      <c r="R77" s="133" t="str">
        <f t="shared" si="351"/>
        <v>X</v>
      </c>
      <c r="S77" s="198"/>
      <c r="T77" s="193"/>
      <c r="U77" s="185"/>
      <c r="V77" s="172"/>
      <c r="W77" s="133" t="str">
        <f t="shared" si="352"/>
        <v/>
      </c>
      <c r="X77" s="185"/>
      <c r="Y77" s="44"/>
      <c r="Z77" s="468" t="str">
        <f t="shared" si="353"/>
        <v/>
      </c>
      <c r="AA77" s="468" t="str">
        <f t="shared" si="354"/>
        <v/>
      </c>
      <c r="AB77" s="336" t="str">
        <f t="shared" si="355"/>
        <v/>
      </c>
      <c r="AC77" s="45"/>
      <c r="AD77" s="468" t="str">
        <f t="shared" si="356"/>
        <v/>
      </c>
      <c r="AE77" s="468" t="str">
        <f t="shared" si="357"/>
        <v/>
      </c>
      <c r="AF77" s="336" t="str">
        <f t="shared" si="358"/>
        <v/>
      </c>
      <c r="AG77" s="45"/>
      <c r="AH77" s="336" t="str">
        <f>IF(AK77="","",IF($W77="도비","-",CONCATENATE(AK77,"-",COUNTIF(AK$7:$AK77,AK77))))</f>
        <v/>
      </c>
      <c r="AI77" s="336" t="str">
        <f t="shared" si="359"/>
        <v/>
      </c>
      <c r="AJ77" s="45"/>
      <c r="AK77" s="336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32" t="str">
        <f>IF($AH77="","",IF($AH77="-",0, SUMIFS('5. 기출'!$AB$7:$AB$2012,'5. 기출'!$AJ$7:$AJ$2012,$AH77)))</f>
        <v/>
      </c>
      <c r="AN77" s="339" t="str">
        <f>IF($AH77="","",IF($AH77="-", 0, COUNTIF('5. 기출'!$AJ$7:$AJ$2012,$AH77)))</f>
        <v/>
      </c>
      <c r="AO77" s="336" t="str">
        <f t="shared" si="360"/>
        <v/>
      </c>
      <c r="AP77" s="46"/>
      <c r="AQ77" s="432" t="str">
        <f>IF($AH77="","",IF($AH77="-",0, SUMIFS('5. 기출'!$AF$7:$AF$2012,'5. 기출'!$AJ$7:$AJ$2012,$AH77)))</f>
        <v/>
      </c>
      <c r="AR77" s="339" t="str">
        <f>IF($AH77="","",IF($AH77="-", 0, COUNTIF('5. 기출'!$AJ$7:$AJ$2012,$AH77)))</f>
        <v/>
      </c>
      <c r="AS77" s="336" t="str">
        <f t="shared" si="361"/>
        <v/>
      </c>
    </row>
    <row r="78" spans="1:45" s="19" customFormat="1" ht="80.099999999999994" customHeight="1">
      <c r="A78" s="126" t="str">
        <f>IF(D78="","",COUNTA($C$7:C78)-COUNTBLANK($C$7:C78)+18)</f>
        <v/>
      </c>
      <c r="B78" s="127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27" t="str">
        <f>IF(D78="","",IF(OR(D78="교육지원과",D78="총무과",D78="인사과"),"직접입력",VLOOKUP(D78,구분표!$A$3:$C$258,3,)))</f>
        <v/>
      </c>
      <c r="D78" s="194"/>
      <c r="E78" s="181"/>
      <c r="F78" s="350" t="str">
        <f t="shared" si="362"/>
        <v/>
      </c>
      <c r="G78" s="350" t="str">
        <f t="shared" si="362"/>
        <v/>
      </c>
      <c r="H78" s="182"/>
      <c r="I78" s="203" t="str">
        <f>IF(H78="","",VLOOKUP($H78,구분표!$O$3:$P$168,2,FALSE))</f>
        <v/>
      </c>
      <c r="J78" s="183"/>
      <c r="K78" s="419" t="str">
        <f t="shared" si="363"/>
        <v/>
      </c>
      <c r="L78" s="419" t="str">
        <f t="shared" si="364"/>
        <v/>
      </c>
      <c r="M78" s="421" t="str">
        <f t="shared" si="348"/>
        <v/>
      </c>
      <c r="N78" s="420"/>
      <c r="O78" s="421">
        <f t="shared" si="349"/>
        <v>0</v>
      </c>
      <c r="P78" s="422"/>
      <c r="Q78" s="423">
        <f t="shared" si="350"/>
        <v>0</v>
      </c>
      <c r="R78" s="133" t="str">
        <f t="shared" si="351"/>
        <v>X</v>
      </c>
      <c r="S78" s="198"/>
      <c r="T78" s="193"/>
      <c r="U78" s="185"/>
      <c r="V78" s="172"/>
      <c r="W78" s="133" t="str">
        <f t="shared" si="352"/>
        <v/>
      </c>
      <c r="X78" s="185"/>
      <c r="Y78" s="44"/>
      <c r="Z78" s="468" t="str">
        <f t="shared" si="353"/>
        <v/>
      </c>
      <c r="AA78" s="468" t="str">
        <f t="shared" si="354"/>
        <v/>
      </c>
      <c r="AB78" s="336" t="str">
        <f t="shared" si="355"/>
        <v/>
      </c>
      <c r="AC78" s="45"/>
      <c r="AD78" s="468" t="str">
        <f t="shared" si="356"/>
        <v/>
      </c>
      <c r="AE78" s="468" t="str">
        <f t="shared" si="357"/>
        <v/>
      </c>
      <c r="AF78" s="336" t="str">
        <f t="shared" si="358"/>
        <v/>
      </c>
      <c r="AG78" s="45"/>
      <c r="AH78" s="336" t="str">
        <f>IF(AK78="","",IF($W78="도비","-",CONCATENATE(AK78,"-",COUNTIF(AK$7:$AK78,AK78))))</f>
        <v/>
      </c>
      <c r="AI78" s="336" t="str">
        <f t="shared" si="359"/>
        <v/>
      </c>
      <c r="AJ78" s="45"/>
      <c r="AK78" s="336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32" t="str">
        <f>IF($AH78="","",IF($AH78="-",0, SUMIFS('5. 기출'!$AB$7:$AB$2012,'5. 기출'!$AJ$7:$AJ$2012,$AH78)))</f>
        <v/>
      </c>
      <c r="AN78" s="339" t="str">
        <f>IF($AH78="","",IF($AH78="-", 0, COUNTIF('5. 기출'!$AJ$7:$AJ$2012,$AH78)))</f>
        <v/>
      </c>
      <c r="AO78" s="336" t="str">
        <f t="shared" si="360"/>
        <v/>
      </c>
      <c r="AP78" s="46"/>
      <c r="AQ78" s="432" t="str">
        <f>IF($AH78="","",IF($AH78="-",0, SUMIFS('5. 기출'!$AF$7:$AF$2012,'5. 기출'!$AJ$7:$AJ$2012,$AH78)))</f>
        <v/>
      </c>
      <c r="AR78" s="339" t="str">
        <f>IF($AH78="","",IF($AH78="-", 0, COUNTIF('5. 기출'!$AJ$7:$AJ$2012,$AH78)))</f>
        <v/>
      </c>
      <c r="AS78" s="336" t="str">
        <f t="shared" si="361"/>
        <v/>
      </c>
    </row>
    <row r="79" spans="1:45" ht="60" customHeight="1">
      <c r="A79" s="141"/>
      <c r="B79" s="886" t="s">
        <v>792</v>
      </c>
      <c r="C79" s="886"/>
      <c r="D79" s="886"/>
      <c r="E79" s="886"/>
      <c r="F79" s="886"/>
      <c r="G79" s="886"/>
      <c r="H79" s="78"/>
      <c r="I79" s="78"/>
      <c r="J79" s="313" t="str">
        <f>SUBTOTAL(3,J80:J82)&amp;"건"</f>
        <v>0건</v>
      </c>
      <c r="K79" s="418">
        <f t="shared" ref="K79:Q79" si="365">SUBTOTAL(9,K80:K82)</f>
        <v>0</v>
      </c>
      <c r="L79" s="418">
        <f t="shared" si="365"/>
        <v>0</v>
      </c>
      <c r="M79" s="418">
        <f t="shared" si="365"/>
        <v>0</v>
      </c>
      <c r="N79" s="418">
        <f t="shared" si="365"/>
        <v>0</v>
      </c>
      <c r="O79" s="418">
        <f t="shared" si="365"/>
        <v>0</v>
      </c>
      <c r="P79" s="418">
        <f t="shared" si="365"/>
        <v>0</v>
      </c>
      <c r="Q79" s="418">
        <f t="shared" si="365"/>
        <v>0</v>
      </c>
      <c r="R79" s="77"/>
      <c r="S79" s="77"/>
      <c r="T79" s="77"/>
      <c r="U79" s="77"/>
      <c r="V79" s="77"/>
      <c r="W79" s="79"/>
      <c r="X79" s="79"/>
      <c r="Y79" s="42"/>
      <c r="Z79" s="418">
        <f>SUBTOTAL(9,Z80:Z82)</f>
        <v>0</v>
      </c>
      <c r="AA79" s="418">
        <f>SUBTOTAL(9,AA80:AA82)</f>
        <v>0</v>
      </c>
      <c r="AB79" s="511" t="str">
        <f>IF(COUNTIF(AB80:AB82,"@@")&gt;0,"@@","OK")</f>
        <v>OK</v>
      </c>
      <c r="AC79" s="43"/>
      <c r="AD79" s="418">
        <f>SUBTOTAL(9,AD80:AD82)</f>
        <v>0</v>
      </c>
      <c r="AE79" s="418">
        <f>SUBTOTAL(9,AE80:AE82)</f>
        <v>0</v>
      </c>
      <c r="AF79" s="511" t="str">
        <f>IF(COUNTIF(AF80:AF82,"@@")&gt;0,"@@","OK")</f>
        <v>OK</v>
      </c>
      <c r="AG79" s="43"/>
      <c r="AH79" s="141"/>
      <c r="AI79" s="141"/>
      <c r="AJ79" s="43"/>
      <c r="AK79" s="141"/>
      <c r="AL79" s="43"/>
      <c r="AM79" s="418">
        <f>SUBTOTAL(9,AM80:AM82)</f>
        <v>0</v>
      </c>
      <c r="AN79" s="418">
        <f>SUBTOTAL(9,AN80:AN82)</f>
        <v>0</v>
      </c>
      <c r="AO79" s="511" t="str">
        <f>IF(COUNTIF(AO80:AO82,"@@")&gt;0,"@@","OK")</f>
        <v>OK</v>
      </c>
      <c r="AP79" s="43"/>
      <c r="AQ79" s="418">
        <f t="shared" ref="AQ79" si="366">SUBTOTAL(9,AQ80:AQ82)</f>
        <v>0</v>
      </c>
      <c r="AR79" s="418">
        <f t="shared" ref="AR79" si="367">SUBTOTAL(9,AR80:AR82)</f>
        <v>0</v>
      </c>
      <c r="AS79" s="511" t="str">
        <f>IF(COUNTIF(AS80:AS82,"@@")&gt;0,"@@","OK")</f>
        <v>OK</v>
      </c>
    </row>
    <row r="80" spans="1:45" s="19" customFormat="1" ht="80.099999999999994" customHeight="1">
      <c r="A80" s="126" t="str">
        <f>IF(D80="","",COUNTA($C$7:C80)-COUNTBLANK($C$7:C80)+19)</f>
        <v/>
      </c>
      <c r="B80" s="127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27" t="str">
        <f>IF(D80="","",IF(OR(D80="교육지원과",D80="총무과",D80="인사과"),"직접입력",VLOOKUP(D80,구분표!$A$3:$C$258,3,)))</f>
        <v/>
      </c>
      <c r="D80" s="194"/>
      <c r="E80" s="181"/>
      <c r="F80" s="350" t="str">
        <f>IF($E80="","",IF($E80="2추","직접입력","-"))</f>
        <v/>
      </c>
      <c r="G80" s="350" t="str">
        <f>IF($E80="","",IF($E80="2추","직접입력","-"))</f>
        <v/>
      </c>
      <c r="H80" s="182"/>
      <c r="I80" s="203" t="str">
        <f>IF(H80="","",VLOOKUP($H80,구분표!$O$3:$P$168,2,FALSE))</f>
        <v/>
      </c>
      <c r="J80" s="183"/>
      <c r="K80" s="419" t="str">
        <f>IF($E80="","",IF(OR($E80="2추",  $E80="1추", $E80="본예산"), "금액입력", "-"))</f>
        <v/>
      </c>
      <c r="L80" s="419" t="str">
        <f>IF($E80="", "", IF($E80="2추","금액입력", "-"))</f>
        <v/>
      </c>
      <c r="M80" s="421" t="str">
        <f t="shared" ref="M80:M82" si="368">IF($E80="","",SUM(K80:L80))</f>
        <v/>
      </c>
      <c r="N80" s="420"/>
      <c r="O80" s="421">
        <f t="shared" ref="O80:O82" si="369">SUM(M80:N80)</f>
        <v>0</v>
      </c>
      <c r="P80" s="422"/>
      <c r="Q80" s="423">
        <f t="shared" ref="Q80:Q82" si="370">SUM(M80,P80)</f>
        <v>0</v>
      </c>
      <c r="R80" s="133" t="str">
        <f t="shared" ref="R80:R82" si="371">IF(AND((O80=0),(Q80&gt;0)),"O",IF(AND((N80&lt;0),(O80-Q80&lt;0)),"O","X"))</f>
        <v>X</v>
      </c>
      <c r="S80" s="198"/>
      <c r="T80" s="193"/>
      <c r="U80" s="185"/>
      <c r="V80" s="172"/>
      <c r="W80" s="133" t="str">
        <f t="shared" ref="W80:W82" si="372">IF($H80="","",IF(OR($H80="511-01", $H80="511-02", $H80="511-03", $H80="311-02", $H80="311-04", $H80="321-01"),"국도비","도비"))</f>
        <v/>
      </c>
      <c r="X80" s="185"/>
      <c r="Y80" s="44"/>
      <c r="Z80" s="468" t="str">
        <f t="shared" ref="Z80:Z82" si="373">IF($W80="", "", IF($W80="국도비",$N80, 0))</f>
        <v/>
      </c>
      <c r="AA80" s="468" t="str">
        <f t="shared" ref="AA80:AA82" si="374">IF($W80="", "", IF($W80="도비",$N80, 0))</f>
        <v/>
      </c>
      <c r="AB80" s="336" t="str">
        <f t="shared" ref="AB80:AB82" si="375">IF($W80="", "", IF($N80=SUM($Z80:$AA80),"OK","@@"))</f>
        <v/>
      </c>
      <c r="AC80" s="45"/>
      <c r="AD80" s="468" t="str">
        <f t="shared" ref="AD80:AD82" si="376">IF($W80="", "", IF($W80="국도비",$P80, 0))</f>
        <v/>
      </c>
      <c r="AE80" s="468" t="str">
        <f t="shared" ref="AE80:AE82" si="377">IF($W80="", "", IF($W80="도비",$P80, 0))</f>
        <v/>
      </c>
      <c r="AF80" s="336" t="str">
        <f t="shared" ref="AF80:AF82" si="378">IF($W80="", "", IF($P80=SUM($AD80:$AE80),"OK","@@"))</f>
        <v/>
      </c>
      <c r="AG80" s="45"/>
      <c r="AH80" s="336" t="str">
        <f>IF(AK80="","",IF($W80="도비","-",CONCATENATE(AK80,"-",COUNTIF(AK$7:$AK80,AK80))))</f>
        <v/>
      </c>
      <c r="AI80" s="336" t="str">
        <f t="shared" ref="AI80:AI82" si="379">IF($H80="","",IF($H80="511-01","국비",IF($H80="511-02","균특",IF($H80="511-03","기금",IF($H80="311-02","특교",IF($H80="311-04","소교",IF($H80="321-01","소멸","도비")))))))</f>
        <v/>
      </c>
      <c r="AJ80" s="45"/>
      <c r="AK80" s="336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32" t="str">
        <f>IF($AH80="","",IF($AH80="-",0, SUMIFS('5. 기출'!$AB$7:$AB$2012,'5. 기출'!$AJ$7:$AJ$2012,$AH80)))</f>
        <v/>
      </c>
      <c r="AN80" s="339" t="str">
        <f>IF($AH80="","",IF($AH80="-", 0, COUNTIF('5. 기출'!$AJ$7:$AJ$2012,$AH80)))</f>
        <v/>
      </c>
      <c r="AO80" s="336" t="str">
        <f t="shared" ref="AO80:AO82" si="380">IF($AH80="", "", IF($Z80=$AM80,"OK","@@"))</f>
        <v/>
      </c>
      <c r="AP80" s="46"/>
      <c r="AQ80" s="432" t="str">
        <f>IF($AH80="","",IF($AH80="-",0, SUMIFS('5. 기출'!$AF$7:$AF$2012,'5. 기출'!$AJ$7:$AJ$2012,$AH80)))</f>
        <v/>
      </c>
      <c r="AR80" s="339" t="str">
        <f>IF($AH80="","",IF($AH80="-", 0, COUNTIF('5. 기출'!$AJ$7:$AJ$2012,$AH80)))</f>
        <v/>
      </c>
      <c r="AS80" s="336" t="str">
        <f t="shared" ref="AS80:AS82" si="381">IF($AH80="", "", IF($AD80=$AQ80,"OK","@@"))</f>
        <v/>
      </c>
    </row>
    <row r="81" spans="1:45" s="19" customFormat="1" ht="80.099999999999994" customHeight="1">
      <c r="A81" s="126" t="str">
        <f>IF(D81="","",COUNTA($C$7:C81)-COUNTBLANK($C$7:C81)+19)</f>
        <v/>
      </c>
      <c r="B81" s="127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27" t="str">
        <f>IF(D81="","",IF(OR(D81="교육지원과",D81="총무과",D81="인사과"),"직접입력",VLOOKUP(D81,구분표!$A$3:$C$258,3,)))</f>
        <v/>
      </c>
      <c r="D81" s="194"/>
      <c r="E81" s="181"/>
      <c r="F81" s="350" t="str">
        <f t="shared" ref="F81:G82" si="382">IF($E81="","",IF($E81="2추","직접입력","-"))</f>
        <v/>
      </c>
      <c r="G81" s="350" t="str">
        <f t="shared" si="382"/>
        <v/>
      </c>
      <c r="H81" s="182"/>
      <c r="I81" s="203" t="str">
        <f>IF(H81="","",VLOOKUP($H81,구분표!$O$3:$P$168,2,FALSE))</f>
        <v/>
      </c>
      <c r="J81" s="183"/>
      <c r="K81" s="419" t="str">
        <f t="shared" ref="K81:K82" si="383">IF($E81="","",IF(OR($E81="2추",  $E81="1추", $E81="본예산"), "금액입력", "-"))</f>
        <v/>
      </c>
      <c r="L81" s="419" t="str">
        <f t="shared" ref="L81:L82" si="384">IF($E81="", "", IF($E81="2추","금액입력", "-"))</f>
        <v/>
      </c>
      <c r="M81" s="421" t="str">
        <f t="shared" si="368"/>
        <v/>
      </c>
      <c r="N81" s="420"/>
      <c r="O81" s="421">
        <f t="shared" si="369"/>
        <v>0</v>
      </c>
      <c r="P81" s="422"/>
      <c r="Q81" s="423">
        <f t="shared" si="370"/>
        <v>0</v>
      </c>
      <c r="R81" s="133" t="str">
        <f t="shared" si="371"/>
        <v>X</v>
      </c>
      <c r="S81" s="198"/>
      <c r="T81" s="193"/>
      <c r="U81" s="185"/>
      <c r="V81" s="172"/>
      <c r="W81" s="133" t="str">
        <f t="shared" si="372"/>
        <v/>
      </c>
      <c r="X81" s="185"/>
      <c r="Y81" s="44"/>
      <c r="Z81" s="468" t="str">
        <f t="shared" si="373"/>
        <v/>
      </c>
      <c r="AA81" s="468" t="str">
        <f t="shared" si="374"/>
        <v/>
      </c>
      <c r="AB81" s="336" t="str">
        <f t="shared" si="375"/>
        <v/>
      </c>
      <c r="AC81" s="45"/>
      <c r="AD81" s="468" t="str">
        <f t="shared" si="376"/>
        <v/>
      </c>
      <c r="AE81" s="468" t="str">
        <f t="shared" si="377"/>
        <v/>
      </c>
      <c r="AF81" s="336" t="str">
        <f t="shared" si="378"/>
        <v/>
      </c>
      <c r="AG81" s="45"/>
      <c r="AH81" s="336" t="str">
        <f>IF(AK81="","",IF($W81="도비","-",CONCATENATE(AK81,"-",COUNTIF(AK$7:$AK81,AK81))))</f>
        <v/>
      </c>
      <c r="AI81" s="336" t="str">
        <f t="shared" si="379"/>
        <v/>
      </c>
      <c r="AJ81" s="45"/>
      <c r="AK81" s="336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32" t="str">
        <f>IF($AH81="","",IF($AH81="-",0, SUMIFS('5. 기출'!$AB$7:$AB$2012,'5. 기출'!$AJ$7:$AJ$2012,$AH81)))</f>
        <v/>
      </c>
      <c r="AN81" s="339" t="str">
        <f>IF($AH81="","",IF($AH81="-", 0, COUNTIF('5. 기출'!$AJ$7:$AJ$2012,$AH81)))</f>
        <v/>
      </c>
      <c r="AO81" s="336" t="str">
        <f t="shared" si="380"/>
        <v/>
      </c>
      <c r="AP81" s="46"/>
      <c r="AQ81" s="432" t="str">
        <f>IF($AH81="","",IF($AH81="-",0, SUMIFS('5. 기출'!$AF$7:$AF$2012,'5. 기출'!$AJ$7:$AJ$2012,$AH81)))</f>
        <v/>
      </c>
      <c r="AR81" s="339" t="str">
        <f>IF($AH81="","",IF($AH81="-", 0, COUNTIF('5. 기출'!$AJ$7:$AJ$2012,$AH81)))</f>
        <v/>
      </c>
      <c r="AS81" s="336" t="str">
        <f t="shared" si="381"/>
        <v/>
      </c>
    </row>
    <row r="82" spans="1:45" s="19" customFormat="1" ht="80.099999999999994" customHeight="1">
      <c r="A82" s="126" t="str">
        <f>IF(D82="","",COUNTA($C$7:C82)-COUNTBLANK($C$7:C82)+19)</f>
        <v/>
      </c>
      <c r="B82" s="127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27" t="str">
        <f>IF(D82="","",IF(OR(D82="교육지원과",D82="총무과",D82="인사과"),"직접입력",VLOOKUP(D82,구분표!$A$3:$C$258,3,)))</f>
        <v/>
      </c>
      <c r="D82" s="194"/>
      <c r="E82" s="181"/>
      <c r="F82" s="350" t="str">
        <f t="shared" si="382"/>
        <v/>
      </c>
      <c r="G82" s="350" t="str">
        <f t="shared" si="382"/>
        <v/>
      </c>
      <c r="H82" s="182"/>
      <c r="I82" s="203" t="str">
        <f>IF(H82="","",VLOOKUP($H82,구분표!$O$3:$P$168,2,FALSE))</f>
        <v/>
      </c>
      <c r="J82" s="183"/>
      <c r="K82" s="419" t="str">
        <f t="shared" si="383"/>
        <v/>
      </c>
      <c r="L82" s="419" t="str">
        <f t="shared" si="384"/>
        <v/>
      </c>
      <c r="M82" s="421" t="str">
        <f t="shared" si="368"/>
        <v/>
      </c>
      <c r="N82" s="420"/>
      <c r="O82" s="421">
        <f t="shared" si="369"/>
        <v>0</v>
      </c>
      <c r="P82" s="422"/>
      <c r="Q82" s="423">
        <f t="shared" si="370"/>
        <v>0</v>
      </c>
      <c r="R82" s="133" t="str">
        <f t="shared" si="371"/>
        <v>X</v>
      </c>
      <c r="S82" s="198"/>
      <c r="T82" s="193"/>
      <c r="U82" s="185"/>
      <c r="V82" s="172"/>
      <c r="W82" s="133" t="str">
        <f t="shared" si="372"/>
        <v/>
      </c>
      <c r="X82" s="185"/>
      <c r="Y82" s="44"/>
      <c r="Z82" s="468" t="str">
        <f t="shared" si="373"/>
        <v/>
      </c>
      <c r="AA82" s="468" t="str">
        <f t="shared" si="374"/>
        <v/>
      </c>
      <c r="AB82" s="336" t="str">
        <f t="shared" si="375"/>
        <v/>
      </c>
      <c r="AC82" s="45"/>
      <c r="AD82" s="468" t="str">
        <f t="shared" si="376"/>
        <v/>
      </c>
      <c r="AE82" s="468" t="str">
        <f t="shared" si="377"/>
        <v/>
      </c>
      <c r="AF82" s="336" t="str">
        <f t="shared" si="378"/>
        <v/>
      </c>
      <c r="AG82" s="45"/>
      <c r="AH82" s="336" t="str">
        <f>IF(AK82="","",IF($W82="도비","-",CONCATENATE(AK82,"-",COUNTIF(AK$7:$AK82,AK82))))</f>
        <v/>
      </c>
      <c r="AI82" s="336" t="str">
        <f t="shared" si="379"/>
        <v/>
      </c>
      <c r="AJ82" s="45"/>
      <c r="AK82" s="336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32" t="str">
        <f>IF($AH82="","",IF($AH82="-",0, SUMIFS('5. 기출'!$AB$7:$AB$2012,'5. 기출'!$AJ$7:$AJ$2012,$AH82)))</f>
        <v/>
      </c>
      <c r="AN82" s="339" t="str">
        <f>IF($AH82="","",IF($AH82="-", 0, COUNTIF('5. 기출'!$AJ$7:$AJ$2012,$AH82)))</f>
        <v/>
      </c>
      <c r="AO82" s="336" t="str">
        <f t="shared" si="380"/>
        <v/>
      </c>
      <c r="AP82" s="46"/>
      <c r="AQ82" s="432" t="str">
        <f>IF($AH82="","",IF($AH82="-",0, SUMIFS('5. 기출'!$AF$7:$AF$2012,'5. 기출'!$AJ$7:$AJ$2012,$AH82)))</f>
        <v/>
      </c>
      <c r="AR82" s="339" t="str">
        <f>IF($AH82="","",IF($AH82="-", 0, COUNTIF('5. 기출'!$AJ$7:$AJ$2012,$AH82)))</f>
        <v/>
      </c>
      <c r="AS82" s="336" t="str">
        <f t="shared" si="381"/>
        <v/>
      </c>
    </row>
    <row r="83" spans="1:45" ht="60" customHeight="1">
      <c r="A83" s="141"/>
      <c r="B83" s="886" t="s">
        <v>793</v>
      </c>
      <c r="C83" s="886"/>
      <c r="D83" s="886"/>
      <c r="E83" s="886"/>
      <c r="F83" s="886"/>
      <c r="G83" s="886"/>
      <c r="H83" s="78"/>
      <c r="I83" s="78"/>
      <c r="J83" s="313" t="str">
        <f>SUBTOTAL(3,J84:J86)&amp;"건"</f>
        <v>0건</v>
      </c>
      <c r="K83" s="418">
        <f t="shared" ref="K83:Q83" si="385">SUBTOTAL(9,K84:K86)</f>
        <v>0</v>
      </c>
      <c r="L83" s="418">
        <f t="shared" si="385"/>
        <v>0</v>
      </c>
      <c r="M83" s="418">
        <f t="shared" si="385"/>
        <v>0</v>
      </c>
      <c r="N83" s="418">
        <f t="shared" si="385"/>
        <v>0</v>
      </c>
      <c r="O83" s="418">
        <f t="shared" si="385"/>
        <v>0</v>
      </c>
      <c r="P83" s="418">
        <f t="shared" si="385"/>
        <v>0</v>
      </c>
      <c r="Q83" s="418">
        <f t="shared" si="385"/>
        <v>0</v>
      </c>
      <c r="R83" s="77"/>
      <c r="S83" s="77"/>
      <c r="T83" s="77"/>
      <c r="U83" s="77"/>
      <c r="V83" s="77"/>
      <c r="W83" s="79"/>
      <c r="X83" s="79"/>
      <c r="Y83" s="42"/>
      <c r="Z83" s="418">
        <f>SUBTOTAL(9,Z84:Z86)</f>
        <v>0</v>
      </c>
      <c r="AA83" s="418">
        <f>SUBTOTAL(9,AA84:AA86)</f>
        <v>0</v>
      </c>
      <c r="AB83" s="511" t="str">
        <f>IF(COUNTIF(AB84:AB86,"@@")&gt;0,"@@","OK")</f>
        <v>OK</v>
      </c>
      <c r="AC83" s="43"/>
      <c r="AD83" s="418">
        <f>SUBTOTAL(9,AD84:AD86)</f>
        <v>0</v>
      </c>
      <c r="AE83" s="418">
        <f>SUBTOTAL(9,AE84:AE86)</f>
        <v>0</v>
      </c>
      <c r="AF83" s="511" t="str">
        <f>IF(COUNTIF(AF84:AF86,"@@")&gt;0,"@@","OK")</f>
        <v>OK</v>
      </c>
      <c r="AG83" s="43"/>
      <c r="AH83" s="141"/>
      <c r="AI83" s="141"/>
      <c r="AJ83" s="43"/>
      <c r="AK83" s="141"/>
      <c r="AL83" s="43"/>
      <c r="AM83" s="418">
        <f>SUBTOTAL(9,AM84:AM86)</f>
        <v>0</v>
      </c>
      <c r="AN83" s="418">
        <f>SUBTOTAL(9,AN84:AN86)</f>
        <v>0</v>
      </c>
      <c r="AO83" s="511" t="str">
        <f>IF(COUNTIF(AO84:AO86,"@@")&gt;0,"@@","OK")</f>
        <v>OK</v>
      </c>
      <c r="AP83" s="43"/>
      <c r="AQ83" s="418">
        <f t="shared" ref="AQ83" si="386">SUBTOTAL(9,AQ84:AQ86)</f>
        <v>0</v>
      </c>
      <c r="AR83" s="418">
        <f t="shared" ref="AR83" si="387">SUBTOTAL(9,AR84:AR86)</f>
        <v>0</v>
      </c>
      <c r="AS83" s="511" t="str">
        <f>IF(COUNTIF(AS84:AS86,"@@")&gt;0,"@@","OK")</f>
        <v>OK</v>
      </c>
    </row>
    <row r="84" spans="1:45" s="19" customFormat="1" ht="80.099999999999994" customHeight="1">
      <c r="A84" s="126" t="str">
        <f>IF(D84="","",COUNTA($C$7:C84)-COUNTBLANK($C$7:C84)+20)</f>
        <v/>
      </c>
      <c r="B84" s="127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27" t="str">
        <f>IF(D84="","",IF(OR(D84="교육지원과",D84="총무과",D84="인사과"),"직접입력",VLOOKUP(D84,구분표!$A$3:$C$258,3,)))</f>
        <v/>
      </c>
      <c r="D84" s="194"/>
      <c r="E84" s="181"/>
      <c r="F84" s="350" t="str">
        <f>IF($E84="","",IF($E84="2추","직접입력","-"))</f>
        <v/>
      </c>
      <c r="G84" s="350" t="str">
        <f>IF($E84="","",IF($E84="2추","직접입력","-"))</f>
        <v/>
      </c>
      <c r="H84" s="182"/>
      <c r="I84" s="203" t="str">
        <f>IF(H84="","",VLOOKUP($H84,구분표!$O$3:$P$168,2,FALSE))</f>
        <v/>
      </c>
      <c r="J84" s="183"/>
      <c r="K84" s="419" t="str">
        <f>IF($E84="","",IF(OR($E84="2추",  $E84="1추", $E84="본예산"), "금액입력", "-"))</f>
        <v/>
      </c>
      <c r="L84" s="419" t="str">
        <f>IF($E84="", "", IF($E84="2추","금액입력", "-"))</f>
        <v/>
      </c>
      <c r="M84" s="421" t="str">
        <f t="shared" ref="M84:M86" si="388">IF($E84="","",SUM(K84:L84))</f>
        <v/>
      </c>
      <c r="N84" s="420"/>
      <c r="O84" s="421">
        <f t="shared" ref="O84:O86" si="389">SUM(M84:N84)</f>
        <v>0</v>
      </c>
      <c r="P84" s="422"/>
      <c r="Q84" s="423">
        <f t="shared" ref="Q84:Q86" si="390">SUM(M84,P84)</f>
        <v>0</v>
      </c>
      <c r="R84" s="133" t="str">
        <f t="shared" ref="R84:R86" si="391">IF(AND((O84=0),(Q84&gt;0)),"O",IF(AND((N84&lt;0),(O84-Q84&lt;0)),"O","X"))</f>
        <v>X</v>
      </c>
      <c r="S84" s="198"/>
      <c r="T84" s="193"/>
      <c r="U84" s="185"/>
      <c r="V84" s="172"/>
      <c r="W84" s="133" t="str">
        <f t="shared" ref="W84:W86" si="392">IF($H84="","",IF(OR($H84="511-01", $H84="511-02", $H84="511-03", $H84="311-02", $H84="311-04", $H84="321-01"),"국도비","도비"))</f>
        <v/>
      </c>
      <c r="X84" s="185"/>
      <c r="Y84" s="44"/>
      <c r="Z84" s="468" t="str">
        <f t="shared" ref="Z84:Z86" si="393">IF($W84="", "", IF($W84="국도비",$N84, 0))</f>
        <v/>
      </c>
      <c r="AA84" s="468" t="str">
        <f t="shared" ref="AA84:AA86" si="394">IF($W84="", "", IF($W84="도비",$N84, 0))</f>
        <v/>
      </c>
      <c r="AB84" s="336" t="str">
        <f t="shared" ref="AB84:AB86" si="395">IF($W84="", "", IF($N84=SUM($Z84:$AA84),"OK","@@"))</f>
        <v/>
      </c>
      <c r="AC84" s="45"/>
      <c r="AD84" s="468" t="str">
        <f t="shared" ref="AD84:AD86" si="396">IF($W84="", "", IF($W84="국도비",$P84, 0))</f>
        <v/>
      </c>
      <c r="AE84" s="468" t="str">
        <f t="shared" ref="AE84:AE86" si="397">IF($W84="", "", IF($W84="도비",$P84, 0))</f>
        <v/>
      </c>
      <c r="AF84" s="336" t="str">
        <f t="shared" ref="AF84:AF86" si="398">IF($W84="", "", IF($P84=SUM($AD84:$AE84),"OK","@@"))</f>
        <v/>
      </c>
      <c r="AG84" s="45"/>
      <c r="AH84" s="336" t="str">
        <f>IF(AK84="","",IF($W84="도비","-",CONCATENATE(AK84,"-",COUNTIF(AK$7:$AK84,AK84))))</f>
        <v/>
      </c>
      <c r="AI84" s="336" t="str">
        <f t="shared" ref="AI84:AI86" si="399">IF($H84="","",IF($H84="511-01","국비",IF($H84="511-02","균특",IF($H84="511-03","기금",IF($H84="311-02","특교",IF($H84="311-04","소교",IF($H84="321-01","소멸","도비")))))))</f>
        <v/>
      </c>
      <c r="AJ84" s="45"/>
      <c r="AK84" s="336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32" t="str">
        <f>IF($AH84="","",IF($AH84="-",0, SUMIFS('5. 기출'!$AB$7:$AB$2012,'5. 기출'!$AJ$7:$AJ$2012,$AH84)))</f>
        <v/>
      </c>
      <c r="AN84" s="339" t="str">
        <f>IF($AH84="","",IF($AH84="-", 0, COUNTIF('5. 기출'!$AJ$7:$AJ$2012,$AH84)))</f>
        <v/>
      </c>
      <c r="AO84" s="336" t="str">
        <f t="shared" ref="AO84:AO86" si="400">IF($AH84="", "", IF($Z84=$AM84,"OK","@@"))</f>
        <v/>
      </c>
      <c r="AP84" s="46"/>
      <c r="AQ84" s="432" t="str">
        <f>IF($AH84="","",IF($AH84="-",0, SUMIFS('5. 기출'!$AF$7:$AF$2012,'5. 기출'!$AJ$7:$AJ$2012,$AH84)))</f>
        <v/>
      </c>
      <c r="AR84" s="339" t="str">
        <f>IF($AH84="","",IF($AH84="-", 0, COUNTIF('5. 기출'!$AJ$7:$AJ$2012,$AH84)))</f>
        <v/>
      </c>
      <c r="AS84" s="336" t="str">
        <f t="shared" ref="AS84:AS86" si="401">IF($AH84="", "", IF($AD84=$AQ84,"OK","@@"))</f>
        <v/>
      </c>
    </row>
    <row r="85" spans="1:45" s="19" customFormat="1" ht="80.099999999999994" customHeight="1">
      <c r="A85" s="126" t="str">
        <f>IF(D85="","",COUNTA($C$7:C85)-COUNTBLANK($C$7:C85)+20)</f>
        <v/>
      </c>
      <c r="B85" s="127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27" t="str">
        <f>IF(D85="","",IF(OR(D85="교육지원과",D85="총무과",D85="인사과"),"직접입력",VLOOKUP(D85,구분표!$A$3:$C$258,3,)))</f>
        <v/>
      </c>
      <c r="D85" s="194"/>
      <c r="E85" s="181"/>
      <c r="F85" s="350" t="str">
        <f t="shared" ref="F85:G86" si="402">IF($E85="","",IF($E85="2추","직접입력","-"))</f>
        <v/>
      </c>
      <c r="G85" s="350" t="str">
        <f t="shared" si="402"/>
        <v/>
      </c>
      <c r="H85" s="182"/>
      <c r="I85" s="203" t="str">
        <f>IF(H85="","",VLOOKUP($H85,구분표!$O$3:$P$168,2,FALSE))</f>
        <v/>
      </c>
      <c r="J85" s="183"/>
      <c r="K85" s="419" t="str">
        <f t="shared" ref="K85:K86" si="403">IF($E85="","",IF(OR($E85="2추",  $E85="1추", $E85="본예산"), "금액입력", "-"))</f>
        <v/>
      </c>
      <c r="L85" s="419" t="str">
        <f t="shared" ref="L85:L86" si="404">IF($E85="", "", IF($E85="2추","금액입력", "-"))</f>
        <v/>
      </c>
      <c r="M85" s="421" t="str">
        <f t="shared" si="388"/>
        <v/>
      </c>
      <c r="N85" s="420"/>
      <c r="O85" s="421">
        <f t="shared" si="389"/>
        <v>0</v>
      </c>
      <c r="P85" s="422"/>
      <c r="Q85" s="423">
        <f t="shared" si="390"/>
        <v>0</v>
      </c>
      <c r="R85" s="133" t="str">
        <f t="shared" si="391"/>
        <v>X</v>
      </c>
      <c r="S85" s="198"/>
      <c r="T85" s="193"/>
      <c r="U85" s="185"/>
      <c r="V85" s="172"/>
      <c r="W85" s="133" t="str">
        <f t="shared" si="392"/>
        <v/>
      </c>
      <c r="X85" s="185"/>
      <c r="Y85" s="44"/>
      <c r="Z85" s="468" t="str">
        <f t="shared" si="393"/>
        <v/>
      </c>
      <c r="AA85" s="468" t="str">
        <f t="shared" si="394"/>
        <v/>
      </c>
      <c r="AB85" s="336" t="str">
        <f t="shared" si="395"/>
        <v/>
      </c>
      <c r="AC85" s="45"/>
      <c r="AD85" s="468" t="str">
        <f t="shared" si="396"/>
        <v/>
      </c>
      <c r="AE85" s="468" t="str">
        <f t="shared" si="397"/>
        <v/>
      </c>
      <c r="AF85" s="336" t="str">
        <f t="shared" si="398"/>
        <v/>
      </c>
      <c r="AG85" s="45"/>
      <c r="AH85" s="336" t="str">
        <f>IF(AK85="","",IF($W85="도비","-",CONCATENATE(AK85,"-",COUNTIF(AK$7:$AK85,AK85))))</f>
        <v/>
      </c>
      <c r="AI85" s="336" t="str">
        <f t="shared" si="399"/>
        <v/>
      </c>
      <c r="AJ85" s="45"/>
      <c r="AK85" s="336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32" t="str">
        <f>IF($AH85="","",IF($AH85="-",0, SUMIFS('5. 기출'!$AB$7:$AB$2012,'5. 기출'!$AJ$7:$AJ$2012,$AH85)))</f>
        <v/>
      </c>
      <c r="AN85" s="339" t="str">
        <f>IF($AH85="","",IF($AH85="-", 0, COUNTIF('5. 기출'!$AJ$7:$AJ$2012,$AH85)))</f>
        <v/>
      </c>
      <c r="AO85" s="336" t="str">
        <f t="shared" si="400"/>
        <v/>
      </c>
      <c r="AP85" s="46"/>
      <c r="AQ85" s="432" t="str">
        <f>IF($AH85="","",IF($AH85="-",0, SUMIFS('5. 기출'!$AF$7:$AF$2012,'5. 기출'!$AJ$7:$AJ$2012,$AH85)))</f>
        <v/>
      </c>
      <c r="AR85" s="339" t="str">
        <f>IF($AH85="","",IF($AH85="-", 0, COUNTIF('5. 기출'!$AJ$7:$AJ$2012,$AH85)))</f>
        <v/>
      </c>
      <c r="AS85" s="336" t="str">
        <f t="shared" si="401"/>
        <v/>
      </c>
    </row>
    <row r="86" spans="1:45" s="19" customFormat="1" ht="80.099999999999994" customHeight="1">
      <c r="A86" s="126" t="str">
        <f>IF(D86="","",COUNTA($C$7:C86)-COUNTBLANK($C$7:C86)+20)</f>
        <v/>
      </c>
      <c r="B86" s="127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27" t="str">
        <f>IF(D86="","",IF(OR(D86="교육지원과",D86="총무과",D86="인사과"),"직접입력",VLOOKUP(D86,구분표!$A$3:$C$258,3,)))</f>
        <v/>
      </c>
      <c r="D86" s="194"/>
      <c r="E86" s="181"/>
      <c r="F86" s="350" t="str">
        <f t="shared" si="402"/>
        <v/>
      </c>
      <c r="G86" s="350" t="str">
        <f t="shared" si="402"/>
        <v/>
      </c>
      <c r="H86" s="182"/>
      <c r="I86" s="203" t="str">
        <f>IF(H86="","",VLOOKUP($H86,구분표!$O$3:$P$168,2,FALSE))</f>
        <v/>
      </c>
      <c r="J86" s="183"/>
      <c r="K86" s="419" t="str">
        <f t="shared" si="403"/>
        <v/>
      </c>
      <c r="L86" s="419" t="str">
        <f t="shared" si="404"/>
        <v/>
      </c>
      <c r="M86" s="421" t="str">
        <f t="shared" si="388"/>
        <v/>
      </c>
      <c r="N86" s="420"/>
      <c r="O86" s="421">
        <f t="shared" si="389"/>
        <v>0</v>
      </c>
      <c r="P86" s="422"/>
      <c r="Q86" s="423">
        <f t="shared" si="390"/>
        <v>0</v>
      </c>
      <c r="R86" s="133" t="str">
        <f t="shared" si="391"/>
        <v>X</v>
      </c>
      <c r="S86" s="198"/>
      <c r="T86" s="193"/>
      <c r="U86" s="185"/>
      <c r="V86" s="172"/>
      <c r="W86" s="133" t="str">
        <f t="shared" si="392"/>
        <v/>
      </c>
      <c r="X86" s="185"/>
      <c r="Y86" s="44"/>
      <c r="Z86" s="468" t="str">
        <f t="shared" si="393"/>
        <v/>
      </c>
      <c r="AA86" s="468" t="str">
        <f t="shared" si="394"/>
        <v/>
      </c>
      <c r="AB86" s="336" t="str">
        <f t="shared" si="395"/>
        <v/>
      </c>
      <c r="AC86" s="45"/>
      <c r="AD86" s="468" t="str">
        <f t="shared" si="396"/>
        <v/>
      </c>
      <c r="AE86" s="468" t="str">
        <f t="shared" si="397"/>
        <v/>
      </c>
      <c r="AF86" s="336" t="str">
        <f t="shared" si="398"/>
        <v/>
      </c>
      <c r="AG86" s="45"/>
      <c r="AH86" s="336" t="str">
        <f>IF(AK86="","",IF($W86="도비","-",CONCATENATE(AK86,"-",COUNTIF(AK$7:$AK86,AK86))))</f>
        <v/>
      </c>
      <c r="AI86" s="336" t="str">
        <f t="shared" si="399"/>
        <v/>
      </c>
      <c r="AJ86" s="45"/>
      <c r="AK86" s="336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32" t="str">
        <f>IF($AH86="","",IF($AH86="-",0, SUMIFS('5. 기출'!$AB$7:$AB$2012,'5. 기출'!$AJ$7:$AJ$2012,$AH86)))</f>
        <v/>
      </c>
      <c r="AN86" s="339" t="str">
        <f>IF($AH86="","",IF($AH86="-", 0, COUNTIF('5. 기출'!$AJ$7:$AJ$2012,$AH86)))</f>
        <v/>
      </c>
      <c r="AO86" s="336" t="str">
        <f t="shared" si="400"/>
        <v/>
      </c>
      <c r="AP86" s="46"/>
      <c r="AQ86" s="432" t="str">
        <f>IF($AH86="","",IF($AH86="-",0, SUMIFS('5. 기출'!$AF$7:$AF$2012,'5. 기출'!$AJ$7:$AJ$2012,$AH86)))</f>
        <v/>
      </c>
      <c r="AR86" s="339" t="str">
        <f>IF($AH86="","",IF($AH86="-", 0, COUNTIF('5. 기출'!$AJ$7:$AJ$2012,$AH86)))</f>
        <v/>
      </c>
      <c r="AS86" s="336" t="str">
        <f t="shared" si="401"/>
        <v/>
      </c>
    </row>
    <row r="87" spans="1:45" ht="60" customHeight="1">
      <c r="A87" s="141"/>
      <c r="B87" s="886" t="s">
        <v>794</v>
      </c>
      <c r="C87" s="886"/>
      <c r="D87" s="886"/>
      <c r="E87" s="886"/>
      <c r="F87" s="886"/>
      <c r="G87" s="886"/>
      <c r="H87" s="78"/>
      <c r="I87" s="78"/>
      <c r="J87" s="313" t="str">
        <f>SUBTOTAL(3,J88:J90)&amp;"건"</f>
        <v>0건</v>
      </c>
      <c r="K87" s="418">
        <f t="shared" ref="K87:Q87" si="405">SUBTOTAL(9,K88:K90)</f>
        <v>0</v>
      </c>
      <c r="L87" s="418">
        <f t="shared" si="405"/>
        <v>0</v>
      </c>
      <c r="M87" s="418">
        <f t="shared" si="405"/>
        <v>0</v>
      </c>
      <c r="N87" s="418">
        <f t="shared" si="405"/>
        <v>0</v>
      </c>
      <c r="O87" s="418">
        <f t="shared" si="405"/>
        <v>0</v>
      </c>
      <c r="P87" s="418">
        <f t="shared" si="405"/>
        <v>0</v>
      </c>
      <c r="Q87" s="418">
        <f t="shared" si="405"/>
        <v>0</v>
      </c>
      <c r="R87" s="77"/>
      <c r="S87" s="77"/>
      <c r="T87" s="77"/>
      <c r="U87" s="77"/>
      <c r="V87" s="77"/>
      <c r="W87" s="79"/>
      <c r="X87" s="79"/>
      <c r="Y87" s="42"/>
      <c r="Z87" s="418">
        <f>SUBTOTAL(9,Z88:Z90)</f>
        <v>0</v>
      </c>
      <c r="AA87" s="418">
        <f>SUBTOTAL(9,AA88:AA90)</f>
        <v>0</v>
      </c>
      <c r="AB87" s="511" t="str">
        <f>IF(COUNTIF(AB88:AB90,"@@")&gt;0,"@@","OK")</f>
        <v>OK</v>
      </c>
      <c r="AC87" s="43"/>
      <c r="AD87" s="418">
        <f>SUBTOTAL(9,AD88:AD90)</f>
        <v>0</v>
      </c>
      <c r="AE87" s="418">
        <f>SUBTOTAL(9,AE88:AE90)</f>
        <v>0</v>
      </c>
      <c r="AF87" s="511" t="str">
        <f>IF(COUNTIF(AF88:AF90,"@@")&gt;0,"@@","OK")</f>
        <v>OK</v>
      </c>
      <c r="AG87" s="43"/>
      <c r="AH87" s="141"/>
      <c r="AI87" s="141"/>
      <c r="AJ87" s="43"/>
      <c r="AK87" s="141"/>
      <c r="AL87" s="43"/>
      <c r="AM87" s="418">
        <f>SUBTOTAL(9,AM88:AM90)</f>
        <v>0</v>
      </c>
      <c r="AN87" s="418">
        <f>SUBTOTAL(9,AN88:AN90)</f>
        <v>0</v>
      </c>
      <c r="AO87" s="511" t="str">
        <f>IF(COUNTIF(AO88:AO90,"@@")&gt;0,"@@","OK")</f>
        <v>OK</v>
      </c>
      <c r="AP87" s="43"/>
      <c r="AQ87" s="418">
        <f t="shared" ref="AQ87" si="406">SUBTOTAL(9,AQ88:AQ90)</f>
        <v>0</v>
      </c>
      <c r="AR87" s="418">
        <f t="shared" ref="AR87" si="407">SUBTOTAL(9,AR88:AR90)</f>
        <v>0</v>
      </c>
      <c r="AS87" s="511" t="str">
        <f>IF(COUNTIF(AS88:AS90,"@@")&gt;0,"@@","OK")</f>
        <v>OK</v>
      </c>
    </row>
    <row r="88" spans="1:45" s="19" customFormat="1" ht="80.099999999999994" customHeight="1">
      <c r="A88" s="126" t="str">
        <f>IF(D88="","",COUNTA($C$7:C88)-COUNTBLANK($C$7:C88)+21)</f>
        <v/>
      </c>
      <c r="B88" s="127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27" t="str">
        <f>IF(D88="","",IF(OR(D88="교육지원과",D88="총무과",D88="인사과"),"직접입력",VLOOKUP(D88,구분표!$A$3:$C$258,3,)))</f>
        <v/>
      </c>
      <c r="D88" s="194"/>
      <c r="E88" s="181"/>
      <c r="F88" s="350" t="str">
        <f>IF($E88="","",IF($E88="2추","직접입력","-"))</f>
        <v/>
      </c>
      <c r="G88" s="350" t="str">
        <f>IF($E88="","",IF($E88="2추","직접입력","-"))</f>
        <v/>
      </c>
      <c r="H88" s="182"/>
      <c r="I88" s="203" t="str">
        <f>IF(H88="","",VLOOKUP($H88,구분표!$O$3:$P$168,2,FALSE))</f>
        <v/>
      </c>
      <c r="J88" s="183"/>
      <c r="K88" s="419" t="str">
        <f>IF($E88="","",IF(OR($E88="2추",  $E88="1추", $E88="본예산"), "금액입력", "-"))</f>
        <v/>
      </c>
      <c r="L88" s="419" t="str">
        <f>IF($E88="", "", IF($E88="2추","금액입력", "-"))</f>
        <v/>
      </c>
      <c r="M88" s="421" t="str">
        <f t="shared" ref="M88:M90" si="408">IF($E88="","",SUM(K88:L88))</f>
        <v/>
      </c>
      <c r="N88" s="420"/>
      <c r="O88" s="421">
        <f t="shared" ref="O88:O90" si="409">SUM(M88:N88)</f>
        <v>0</v>
      </c>
      <c r="P88" s="422"/>
      <c r="Q88" s="423">
        <f t="shared" ref="Q88:Q90" si="410">SUM(M88,P88)</f>
        <v>0</v>
      </c>
      <c r="R88" s="133" t="str">
        <f t="shared" ref="R88:R90" si="411">IF(AND((O88=0),(Q88&gt;0)),"O",IF(AND((N88&lt;0),(O88-Q88&lt;0)),"O","X"))</f>
        <v>X</v>
      </c>
      <c r="S88" s="198"/>
      <c r="T88" s="193"/>
      <c r="U88" s="185"/>
      <c r="V88" s="172"/>
      <c r="W88" s="133" t="str">
        <f t="shared" ref="W88:W90" si="412">IF($H88="","",IF(OR($H88="511-01", $H88="511-02", $H88="511-03", $H88="311-02", $H88="311-04", $H88="321-01"),"국도비","도비"))</f>
        <v/>
      </c>
      <c r="X88" s="185"/>
      <c r="Y88" s="44"/>
      <c r="Z88" s="468" t="str">
        <f t="shared" ref="Z88:Z90" si="413">IF($W88="", "", IF($W88="국도비",$N88, 0))</f>
        <v/>
      </c>
      <c r="AA88" s="468" t="str">
        <f t="shared" ref="AA88:AA90" si="414">IF($W88="", "", IF($W88="도비",$N88, 0))</f>
        <v/>
      </c>
      <c r="AB88" s="336" t="str">
        <f t="shared" ref="AB88:AB90" si="415">IF($W88="", "", IF($N88=SUM($Z88:$AA88),"OK","@@"))</f>
        <v/>
      </c>
      <c r="AC88" s="45"/>
      <c r="AD88" s="468" t="str">
        <f t="shared" ref="AD88:AD90" si="416">IF($W88="", "", IF($W88="국도비",$P88, 0))</f>
        <v/>
      </c>
      <c r="AE88" s="468" t="str">
        <f t="shared" ref="AE88:AE90" si="417">IF($W88="", "", IF($W88="도비",$P88, 0))</f>
        <v/>
      </c>
      <c r="AF88" s="336" t="str">
        <f t="shared" ref="AF88:AF90" si="418">IF($W88="", "", IF($P88=SUM($AD88:$AE88),"OK","@@"))</f>
        <v/>
      </c>
      <c r="AG88" s="45"/>
      <c r="AH88" s="336" t="str">
        <f>IF(AK88="","",IF($W88="도비","-",CONCATENATE(AK88,"-",COUNTIF(AK$7:$AK88,AK88))))</f>
        <v/>
      </c>
      <c r="AI88" s="336" t="str">
        <f t="shared" ref="AI88:AI90" si="419">IF($H88="","",IF($H88="511-01","국비",IF($H88="511-02","균특",IF($H88="511-03","기금",IF($H88="311-02","특교",IF($H88="311-04","소교",IF($H88="321-01","소멸","도비")))))))</f>
        <v/>
      </c>
      <c r="AJ88" s="45"/>
      <c r="AK88" s="336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32" t="str">
        <f>IF($AH88="","",IF($AH88="-",0, SUMIFS('5. 기출'!$AB$7:$AB$2012,'5. 기출'!$AJ$7:$AJ$2012,$AH88)))</f>
        <v/>
      </c>
      <c r="AN88" s="339" t="str">
        <f>IF($AH88="","",IF($AH88="-", 0, COUNTIF('5. 기출'!$AJ$7:$AJ$2012,$AH88)))</f>
        <v/>
      </c>
      <c r="AO88" s="336" t="str">
        <f t="shared" ref="AO88:AO90" si="420">IF($AH88="", "", IF($Z88=$AM88,"OK","@@"))</f>
        <v/>
      </c>
      <c r="AP88" s="46"/>
      <c r="AQ88" s="432" t="str">
        <f>IF($AH88="","",IF($AH88="-",0, SUMIFS('5. 기출'!$AF$7:$AF$2012,'5. 기출'!$AJ$7:$AJ$2012,$AH88)))</f>
        <v/>
      </c>
      <c r="AR88" s="339" t="str">
        <f>IF($AH88="","",IF($AH88="-", 0, COUNTIF('5. 기출'!$AJ$7:$AJ$2012,$AH88)))</f>
        <v/>
      </c>
      <c r="AS88" s="336" t="str">
        <f t="shared" ref="AS88:AS90" si="421">IF($AH88="", "", IF($AD88=$AQ88,"OK","@@"))</f>
        <v/>
      </c>
    </row>
    <row r="89" spans="1:45" s="19" customFormat="1" ht="80.099999999999994" customHeight="1">
      <c r="A89" s="126" t="str">
        <f>IF(D89="","",COUNTA($C$7:C89)-COUNTBLANK($C$7:C89)+21)</f>
        <v/>
      </c>
      <c r="B89" s="127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27" t="str">
        <f>IF(D89="","",IF(OR(D89="교육지원과",D89="총무과",D89="인사과"),"직접입력",VLOOKUP(D89,구분표!$A$3:$C$258,3,)))</f>
        <v/>
      </c>
      <c r="D89" s="194"/>
      <c r="E89" s="181"/>
      <c r="F89" s="350" t="str">
        <f t="shared" ref="F89:G90" si="422">IF($E89="","",IF($E89="2추","직접입력","-"))</f>
        <v/>
      </c>
      <c r="G89" s="350" t="str">
        <f t="shared" si="422"/>
        <v/>
      </c>
      <c r="H89" s="182"/>
      <c r="I89" s="203" t="str">
        <f>IF(H89="","",VLOOKUP($H89,구분표!$O$3:$P$168,2,FALSE))</f>
        <v/>
      </c>
      <c r="J89" s="183"/>
      <c r="K89" s="419" t="str">
        <f t="shared" ref="K89:K90" si="423">IF($E89="","",IF(OR($E89="2추",  $E89="1추", $E89="본예산"), "금액입력", "-"))</f>
        <v/>
      </c>
      <c r="L89" s="419" t="str">
        <f t="shared" ref="L89:L90" si="424">IF($E89="", "", IF($E89="2추","금액입력", "-"))</f>
        <v/>
      </c>
      <c r="M89" s="421" t="str">
        <f t="shared" si="408"/>
        <v/>
      </c>
      <c r="N89" s="420"/>
      <c r="O89" s="421">
        <f t="shared" si="409"/>
        <v>0</v>
      </c>
      <c r="P89" s="422"/>
      <c r="Q89" s="423">
        <f t="shared" si="410"/>
        <v>0</v>
      </c>
      <c r="R89" s="133" t="str">
        <f t="shared" si="411"/>
        <v>X</v>
      </c>
      <c r="S89" s="198"/>
      <c r="T89" s="193"/>
      <c r="U89" s="185"/>
      <c r="V89" s="172"/>
      <c r="W89" s="133" t="str">
        <f t="shared" si="412"/>
        <v/>
      </c>
      <c r="X89" s="185"/>
      <c r="Y89" s="44"/>
      <c r="Z89" s="468" t="str">
        <f t="shared" si="413"/>
        <v/>
      </c>
      <c r="AA89" s="468" t="str">
        <f t="shared" si="414"/>
        <v/>
      </c>
      <c r="AB89" s="336" t="str">
        <f t="shared" si="415"/>
        <v/>
      </c>
      <c r="AC89" s="45"/>
      <c r="AD89" s="468" t="str">
        <f t="shared" si="416"/>
        <v/>
      </c>
      <c r="AE89" s="468" t="str">
        <f t="shared" si="417"/>
        <v/>
      </c>
      <c r="AF89" s="336" t="str">
        <f t="shared" si="418"/>
        <v/>
      </c>
      <c r="AG89" s="45"/>
      <c r="AH89" s="336" t="str">
        <f>IF(AK89="","",IF($W89="도비","-",CONCATENATE(AK89,"-",COUNTIF(AK$7:$AK89,AK89))))</f>
        <v/>
      </c>
      <c r="AI89" s="336" t="str">
        <f t="shared" si="419"/>
        <v/>
      </c>
      <c r="AJ89" s="45"/>
      <c r="AK89" s="336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32" t="str">
        <f>IF($AH89="","",IF($AH89="-",0, SUMIFS('5. 기출'!$AB$7:$AB$2012,'5. 기출'!$AJ$7:$AJ$2012,$AH89)))</f>
        <v/>
      </c>
      <c r="AN89" s="339" t="str">
        <f>IF($AH89="","",IF($AH89="-", 0, COUNTIF('5. 기출'!$AJ$7:$AJ$2012,$AH89)))</f>
        <v/>
      </c>
      <c r="AO89" s="336" t="str">
        <f t="shared" si="420"/>
        <v/>
      </c>
      <c r="AP89" s="46"/>
      <c r="AQ89" s="432" t="str">
        <f>IF($AH89="","",IF($AH89="-",0, SUMIFS('5. 기출'!$AF$7:$AF$2012,'5. 기출'!$AJ$7:$AJ$2012,$AH89)))</f>
        <v/>
      </c>
      <c r="AR89" s="339" t="str">
        <f>IF($AH89="","",IF($AH89="-", 0, COUNTIF('5. 기출'!$AJ$7:$AJ$2012,$AH89)))</f>
        <v/>
      </c>
      <c r="AS89" s="336" t="str">
        <f t="shared" si="421"/>
        <v/>
      </c>
    </row>
    <row r="90" spans="1:45" s="19" customFormat="1" ht="80.099999999999994" customHeight="1">
      <c r="A90" s="126" t="str">
        <f>IF(D90="","",COUNTA($C$7:C90)-COUNTBLANK($C$7:C90)+21)</f>
        <v/>
      </c>
      <c r="B90" s="127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27" t="str">
        <f>IF(D90="","",IF(OR(D90="교육지원과",D90="총무과",D90="인사과"),"직접입력",VLOOKUP(D90,구분표!$A$3:$C$258,3,)))</f>
        <v/>
      </c>
      <c r="D90" s="194"/>
      <c r="E90" s="181"/>
      <c r="F90" s="350" t="str">
        <f t="shared" si="422"/>
        <v/>
      </c>
      <c r="G90" s="350" t="str">
        <f t="shared" si="422"/>
        <v/>
      </c>
      <c r="H90" s="182"/>
      <c r="I90" s="203" t="str">
        <f>IF(H90="","",VLOOKUP($H90,구분표!$O$3:$P$168,2,FALSE))</f>
        <v/>
      </c>
      <c r="J90" s="183"/>
      <c r="K90" s="419" t="str">
        <f t="shared" si="423"/>
        <v/>
      </c>
      <c r="L90" s="419" t="str">
        <f t="shared" si="424"/>
        <v/>
      </c>
      <c r="M90" s="421" t="str">
        <f t="shared" si="408"/>
        <v/>
      </c>
      <c r="N90" s="420"/>
      <c r="O90" s="421">
        <f t="shared" si="409"/>
        <v>0</v>
      </c>
      <c r="P90" s="422"/>
      <c r="Q90" s="423">
        <f t="shared" si="410"/>
        <v>0</v>
      </c>
      <c r="R90" s="133" t="str">
        <f t="shared" si="411"/>
        <v>X</v>
      </c>
      <c r="S90" s="198"/>
      <c r="T90" s="193"/>
      <c r="U90" s="185"/>
      <c r="V90" s="172"/>
      <c r="W90" s="133" t="str">
        <f t="shared" si="412"/>
        <v/>
      </c>
      <c r="X90" s="185"/>
      <c r="Y90" s="44"/>
      <c r="Z90" s="468" t="str">
        <f t="shared" si="413"/>
        <v/>
      </c>
      <c r="AA90" s="468" t="str">
        <f t="shared" si="414"/>
        <v/>
      </c>
      <c r="AB90" s="336" t="str">
        <f t="shared" si="415"/>
        <v/>
      </c>
      <c r="AC90" s="45"/>
      <c r="AD90" s="468" t="str">
        <f t="shared" si="416"/>
        <v/>
      </c>
      <c r="AE90" s="468" t="str">
        <f t="shared" si="417"/>
        <v/>
      </c>
      <c r="AF90" s="336" t="str">
        <f t="shared" si="418"/>
        <v/>
      </c>
      <c r="AG90" s="45"/>
      <c r="AH90" s="336" t="str">
        <f>IF(AK90="","",IF($W90="도비","-",CONCATENATE(AK90,"-",COUNTIF(AK$7:$AK90,AK90))))</f>
        <v/>
      </c>
      <c r="AI90" s="336" t="str">
        <f t="shared" si="419"/>
        <v/>
      </c>
      <c r="AJ90" s="45"/>
      <c r="AK90" s="336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32" t="str">
        <f>IF($AH90="","",IF($AH90="-",0, SUMIFS('5. 기출'!$AB$7:$AB$2012,'5. 기출'!$AJ$7:$AJ$2012,$AH90)))</f>
        <v/>
      </c>
      <c r="AN90" s="339" t="str">
        <f>IF($AH90="","",IF($AH90="-", 0, COUNTIF('5. 기출'!$AJ$7:$AJ$2012,$AH90)))</f>
        <v/>
      </c>
      <c r="AO90" s="336" t="str">
        <f t="shared" si="420"/>
        <v/>
      </c>
      <c r="AP90" s="46"/>
      <c r="AQ90" s="432" t="str">
        <f>IF($AH90="","",IF($AH90="-",0, SUMIFS('5. 기출'!$AF$7:$AF$2012,'5. 기출'!$AJ$7:$AJ$2012,$AH90)))</f>
        <v/>
      </c>
      <c r="AR90" s="339" t="str">
        <f>IF($AH90="","",IF($AH90="-", 0, COUNTIF('5. 기출'!$AJ$7:$AJ$2012,$AH90)))</f>
        <v/>
      </c>
      <c r="AS90" s="336" t="str">
        <f t="shared" si="421"/>
        <v/>
      </c>
    </row>
    <row r="91" spans="1:45" ht="60" customHeight="1">
      <c r="A91" s="141"/>
      <c r="B91" s="886" t="s">
        <v>795</v>
      </c>
      <c r="C91" s="886"/>
      <c r="D91" s="886"/>
      <c r="E91" s="886"/>
      <c r="F91" s="886"/>
      <c r="G91" s="886"/>
      <c r="H91" s="78"/>
      <c r="I91" s="78"/>
      <c r="J91" s="313" t="str">
        <f>SUBTOTAL(3,J92:J94)&amp;"건"</f>
        <v>0건</v>
      </c>
      <c r="K91" s="418">
        <f t="shared" ref="K91:Q91" si="425">SUBTOTAL(9,K92:K94)</f>
        <v>0</v>
      </c>
      <c r="L91" s="418">
        <f t="shared" si="425"/>
        <v>0</v>
      </c>
      <c r="M91" s="418">
        <f t="shared" si="425"/>
        <v>0</v>
      </c>
      <c r="N91" s="418">
        <f t="shared" si="425"/>
        <v>0</v>
      </c>
      <c r="O91" s="418">
        <f t="shared" si="425"/>
        <v>0</v>
      </c>
      <c r="P91" s="418">
        <f t="shared" si="425"/>
        <v>0</v>
      </c>
      <c r="Q91" s="418">
        <f t="shared" si="425"/>
        <v>0</v>
      </c>
      <c r="R91" s="77"/>
      <c r="S91" s="77"/>
      <c r="T91" s="77"/>
      <c r="U91" s="77"/>
      <c r="V91" s="77"/>
      <c r="W91" s="79"/>
      <c r="X91" s="79"/>
      <c r="Y91" s="42"/>
      <c r="Z91" s="418">
        <f>SUBTOTAL(9,Z92:Z94)</f>
        <v>0</v>
      </c>
      <c r="AA91" s="418">
        <f>SUBTOTAL(9,AA92:AA94)</f>
        <v>0</v>
      </c>
      <c r="AB91" s="511" t="str">
        <f>IF(COUNTIF(AB92:AB94,"@@")&gt;0,"@@","OK")</f>
        <v>OK</v>
      </c>
      <c r="AC91" s="43"/>
      <c r="AD91" s="418">
        <f>SUBTOTAL(9,AD92:AD94)</f>
        <v>0</v>
      </c>
      <c r="AE91" s="418">
        <f>SUBTOTAL(9,AE92:AE94)</f>
        <v>0</v>
      </c>
      <c r="AF91" s="511" t="str">
        <f>IF(COUNTIF(AF92:AF94,"@@")&gt;0,"@@","OK")</f>
        <v>OK</v>
      </c>
      <c r="AG91" s="43"/>
      <c r="AH91" s="141"/>
      <c r="AI91" s="141"/>
      <c r="AJ91" s="43"/>
      <c r="AK91" s="141"/>
      <c r="AL91" s="43"/>
      <c r="AM91" s="418">
        <f>SUBTOTAL(9,AM92:AM94)</f>
        <v>0</v>
      </c>
      <c r="AN91" s="418">
        <f>SUBTOTAL(9,AN92:AN94)</f>
        <v>0</v>
      </c>
      <c r="AO91" s="511" t="str">
        <f>IF(COUNTIF(AO92:AO94,"@@")&gt;0,"@@","OK")</f>
        <v>OK</v>
      </c>
      <c r="AP91" s="43"/>
      <c r="AQ91" s="418">
        <f t="shared" ref="AQ91" si="426">SUBTOTAL(9,AQ92:AQ94)</f>
        <v>0</v>
      </c>
      <c r="AR91" s="418">
        <f t="shared" ref="AR91" si="427">SUBTOTAL(9,AR92:AR94)</f>
        <v>0</v>
      </c>
      <c r="AS91" s="511" t="str">
        <f>IF(COUNTIF(AS92:AS94,"@@")&gt;0,"@@","OK")</f>
        <v>OK</v>
      </c>
    </row>
    <row r="92" spans="1:45" s="19" customFormat="1" ht="80.099999999999994" customHeight="1">
      <c r="A92" s="126" t="str">
        <f>IF(D92="","",COUNTA($C$7:C92)-COUNTBLANK($C$7:C92)+22)</f>
        <v/>
      </c>
      <c r="B92" s="127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27" t="str">
        <f>IF(D92="","",IF(OR(D92="교육지원과",D92="총무과",D92="인사과"),"직접입력",VLOOKUP(D92,구분표!$A$3:$C$258,3,)))</f>
        <v/>
      </c>
      <c r="D92" s="194"/>
      <c r="E92" s="181"/>
      <c r="F92" s="350" t="str">
        <f>IF($E92="","",IF($E92="2추","직접입력","-"))</f>
        <v/>
      </c>
      <c r="G92" s="350" t="str">
        <f>IF($E92="","",IF($E92="2추","직접입력","-"))</f>
        <v/>
      </c>
      <c r="H92" s="182"/>
      <c r="I92" s="203" t="str">
        <f>IF(H92="","",VLOOKUP($H92,구분표!$O$3:$P$168,2,FALSE))</f>
        <v/>
      </c>
      <c r="J92" s="183"/>
      <c r="K92" s="419" t="str">
        <f>IF($E92="","",IF(OR($E92="2추",  $E92="1추", $E92="본예산"), "금액입력", "-"))</f>
        <v/>
      </c>
      <c r="L92" s="419" t="str">
        <f>IF($E92="", "", IF($E92="2추","금액입력", "-"))</f>
        <v/>
      </c>
      <c r="M92" s="421" t="str">
        <f t="shared" ref="M92:M94" si="428">IF($E92="","",SUM(K92:L92))</f>
        <v/>
      </c>
      <c r="N92" s="420"/>
      <c r="O92" s="421">
        <f t="shared" ref="O92:O94" si="429">SUM(M92:N92)</f>
        <v>0</v>
      </c>
      <c r="P92" s="422"/>
      <c r="Q92" s="423">
        <f t="shared" ref="Q92:Q94" si="430">SUM(M92,P92)</f>
        <v>0</v>
      </c>
      <c r="R92" s="133" t="str">
        <f t="shared" ref="R92:R94" si="431">IF(AND((O92=0),(Q92&gt;0)),"O",IF(AND((N92&lt;0),(O92-Q92&lt;0)),"O","X"))</f>
        <v>X</v>
      </c>
      <c r="S92" s="198"/>
      <c r="T92" s="193"/>
      <c r="U92" s="185"/>
      <c r="V92" s="172"/>
      <c r="W92" s="133" t="str">
        <f t="shared" ref="W92:W94" si="432">IF($H92="","",IF(OR($H92="511-01", $H92="511-02", $H92="511-03", $H92="311-02", $H92="311-04", $H92="321-01"),"국도비","도비"))</f>
        <v/>
      </c>
      <c r="X92" s="185"/>
      <c r="Y92" s="44"/>
      <c r="Z92" s="468" t="str">
        <f t="shared" ref="Z92:Z94" si="433">IF($W92="", "", IF($W92="국도비",$N92, 0))</f>
        <v/>
      </c>
      <c r="AA92" s="468" t="str">
        <f t="shared" ref="AA92:AA94" si="434">IF($W92="", "", IF($W92="도비",$N92, 0))</f>
        <v/>
      </c>
      <c r="AB92" s="336" t="str">
        <f t="shared" ref="AB92:AB94" si="435">IF($W92="", "", IF($N92=SUM($Z92:$AA92),"OK","@@"))</f>
        <v/>
      </c>
      <c r="AC92" s="45"/>
      <c r="AD92" s="468" t="str">
        <f t="shared" ref="AD92:AD94" si="436">IF($W92="", "", IF($W92="국도비",$P92, 0))</f>
        <v/>
      </c>
      <c r="AE92" s="468" t="str">
        <f t="shared" ref="AE92:AE94" si="437">IF($W92="", "", IF($W92="도비",$P92, 0))</f>
        <v/>
      </c>
      <c r="AF92" s="336" t="str">
        <f t="shared" ref="AF92:AF94" si="438">IF($W92="", "", IF($P92=SUM($AD92:$AE92),"OK","@@"))</f>
        <v/>
      </c>
      <c r="AG92" s="45"/>
      <c r="AH92" s="336" t="str">
        <f>IF(AK92="","",IF($W92="도비","-",CONCATENATE(AK92,"-",COUNTIF(AK$7:$AK92,AK92))))</f>
        <v/>
      </c>
      <c r="AI92" s="336" t="str">
        <f t="shared" ref="AI92:AI94" si="439">IF($H92="","",IF($H92="511-01","국비",IF($H92="511-02","균특",IF($H92="511-03","기금",IF($H92="311-02","특교",IF($H92="311-04","소교",IF($H92="321-01","소멸","도비")))))))</f>
        <v/>
      </c>
      <c r="AJ92" s="45"/>
      <c r="AK92" s="336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32" t="str">
        <f>IF($AH92="","",IF($AH92="-",0, SUMIFS('5. 기출'!$AB$7:$AB$2012,'5. 기출'!$AJ$7:$AJ$2012,$AH92)))</f>
        <v/>
      </c>
      <c r="AN92" s="339" t="str">
        <f>IF($AH92="","",IF($AH92="-", 0, COUNTIF('5. 기출'!$AJ$7:$AJ$2012,$AH92)))</f>
        <v/>
      </c>
      <c r="AO92" s="336" t="str">
        <f t="shared" ref="AO92:AO94" si="440">IF($AH92="", "", IF($Z92=$AM92,"OK","@@"))</f>
        <v/>
      </c>
      <c r="AP92" s="46"/>
      <c r="AQ92" s="432" t="str">
        <f>IF($AH92="","",IF($AH92="-",0, SUMIFS('5. 기출'!$AF$7:$AF$2012,'5. 기출'!$AJ$7:$AJ$2012,$AH92)))</f>
        <v/>
      </c>
      <c r="AR92" s="339" t="str">
        <f>IF($AH92="","",IF($AH92="-", 0, COUNTIF('5. 기출'!$AJ$7:$AJ$2012,$AH92)))</f>
        <v/>
      </c>
      <c r="AS92" s="336" t="str">
        <f t="shared" ref="AS92:AS94" si="441">IF($AH92="", "", IF($AD92=$AQ92,"OK","@@"))</f>
        <v/>
      </c>
    </row>
    <row r="93" spans="1:45" s="19" customFormat="1" ht="80.099999999999994" customHeight="1">
      <c r="A93" s="126" t="str">
        <f>IF(D93="","",COUNTA($C$7:C93)-COUNTBLANK($C$7:C93)+22)</f>
        <v/>
      </c>
      <c r="B93" s="127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27" t="str">
        <f>IF(D93="","",IF(OR(D93="교육지원과",D93="총무과",D93="인사과"),"직접입력",VLOOKUP(D93,구분표!$A$3:$C$258,3,)))</f>
        <v/>
      </c>
      <c r="D93" s="194"/>
      <c r="E93" s="181"/>
      <c r="F93" s="350" t="str">
        <f t="shared" ref="F93:G94" si="442">IF($E93="","",IF($E93="2추","직접입력","-"))</f>
        <v/>
      </c>
      <c r="G93" s="350" t="str">
        <f t="shared" si="442"/>
        <v/>
      </c>
      <c r="H93" s="182"/>
      <c r="I93" s="203" t="str">
        <f>IF(H93="","",VLOOKUP($H93,구분표!$O$3:$P$168,2,FALSE))</f>
        <v/>
      </c>
      <c r="J93" s="183"/>
      <c r="K93" s="419" t="str">
        <f t="shared" ref="K93:K94" si="443">IF($E93="","",IF(OR($E93="2추",  $E93="1추", $E93="본예산"), "금액입력", "-"))</f>
        <v/>
      </c>
      <c r="L93" s="419" t="str">
        <f t="shared" ref="L93:L94" si="444">IF($E93="", "", IF($E93="2추","금액입력", "-"))</f>
        <v/>
      </c>
      <c r="M93" s="421" t="str">
        <f t="shared" si="428"/>
        <v/>
      </c>
      <c r="N93" s="420"/>
      <c r="O93" s="421">
        <f t="shared" si="429"/>
        <v>0</v>
      </c>
      <c r="P93" s="422"/>
      <c r="Q93" s="423">
        <f t="shared" si="430"/>
        <v>0</v>
      </c>
      <c r="R93" s="133" t="str">
        <f t="shared" si="431"/>
        <v>X</v>
      </c>
      <c r="S93" s="198"/>
      <c r="T93" s="193"/>
      <c r="U93" s="185"/>
      <c r="V93" s="172"/>
      <c r="W93" s="133" t="str">
        <f t="shared" si="432"/>
        <v/>
      </c>
      <c r="X93" s="185"/>
      <c r="Y93" s="44"/>
      <c r="Z93" s="468" t="str">
        <f t="shared" si="433"/>
        <v/>
      </c>
      <c r="AA93" s="468" t="str">
        <f t="shared" si="434"/>
        <v/>
      </c>
      <c r="AB93" s="336" t="str">
        <f t="shared" si="435"/>
        <v/>
      </c>
      <c r="AC93" s="45"/>
      <c r="AD93" s="468" t="str">
        <f t="shared" si="436"/>
        <v/>
      </c>
      <c r="AE93" s="468" t="str">
        <f t="shared" si="437"/>
        <v/>
      </c>
      <c r="AF93" s="336" t="str">
        <f t="shared" si="438"/>
        <v/>
      </c>
      <c r="AG93" s="45"/>
      <c r="AH93" s="336" t="str">
        <f>IF(AK93="","",IF($W93="도비","-",CONCATENATE(AK93,"-",COUNTIF(AK$7:$AK93,AK93))))</f>
        <v/>
      </c>
      <c r="AI93" s="336" t="str">
        <f t="shared" si="439"/>
        <v/>
      </c>
      <c r="AJ93" s="45"/>
      <c r="AK93" s="336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32" t="str">
        <f>IF($AH93="","",IF($AH93="-",0, SUMIFS('5. 기출'!$AB$7:$AB$2012,'5. 기출'!$AJ$7:$AJ$2012,$AH93)))</f>
        <v/>
      </c>
      <c r="AN93" s="339" t="str">
        <f>IF($AH93="","",IF($AH93="-", 0, COUNTIF('5. 기출'!$AJ$7:$AJ$2012,$AH93)))</f>
        <v/>
      </c>
      <c r="AO93" s="336" t="str">
        <f t="shared" si="440"/>
        <v/>
      </c>
      <c r="AP93" s="46"/>
      <c r="AQ93" s="432" t="str">
        <f>IF($AH93="","",IF($AH93="-",0, SUMIFS('5. 기출'!$AF$7:$AF$2012,'5. 기출'!$AJ$7:$AJ$2012,$AH93)))</f>
        <v/>
      </c>
      <c r="AR93" s="339" t="str">
        <f>IF($AH93="","",IF($AH93="-", 0, COUNTIF('5. 기출'!$AJ$7:$AJ$2012,$AH93)))</f>
        <v/>
      </c>
      <c r="AS93" s="336" t="str">
        <f t="shared" si="441"/>
        <v/>
      </c>
    </row>
    <row r="94" spans="1:45" s="19" customFormat="1" ht="80.099999999999994" customHeight="1">
      <c r="A94" s="126" t="str">
        <f>IF(D94="","",COUNTA($C$7:C94)-COUNTBLANK($C$7:C94)+22)</f>
        <v/>
      </c>
      <c r="B94" s="127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27" t="str">
        <f>IF(D94="","",IF(OR(D94="교육지원과",D94="총무과",D94="인사과"),"직접입력",VLOOKUP(D94,구분표!$A$3:$C$258,3,)))</f>
        <v/>
      </c>
      <c r="D94" s="194"/>
      <c r="E94" s="181"/>
      <c r="F94" s="350" t="str">
        <f t="shared" si="442"/>
        <v/>
      </c>
      <c r="G94" s="350" t="str">
        <f t="shared" si="442"/>
        <v/>
      </c>
      <c r="H94" s="182"/>
      <c r="I94" s="203" t="str">
        <f>IF(H94="","",VLOOKUP($H94,구분표!$O$3:$P$168,2,FALSE))</f>
        <v/>
      </c>
      <c r="J94" s="183"/>
      <c r="K94" s="419" t="str">
        <f t="shared" si="443"/>
        <v/>
      </c>
      <c r="L94" s="419" t="str">
        <f t="shared" si="444"/>
        <v/>
      </c>
      <c r="M94" s="421" t="str">
        <f t="shared" si="428"/>
        <v/>
      </c>
      <c r="N94" s="420"/>
      <c r="O94" s="421">
        <f t="shared" si="429"/>
        <v>0</v>
      </c>
      <c r="P94" s="422"/>
      <c r="Q94" s="423">
        <f t="shared" si="430"/>
        <v>0</v>
      </c>
      <c r="R94" s="133" t="str">
        <f t="shared" si="431"/>
        <v>X</v>
      </c>
      <c r="S94" s="198"/>
      <c r="T94" s="193"/>
      <c r="U94" s="185"/>
      <c r="V94" s="172"/>
      <c r="W94" s="133" t="str">
        <f t="shared" si="432"/>
        <v/>
      </c>
      <c r="X94" s="185"/>
      <c r="Y94" s="44"/>
      <c r="Z94" s="468" t="str">
        <f t="shared" si="433"/>
        <v/>
      </c>
      <c r="AA94" s="468" t="str">
        <f t="shared" si="434"/>
        <v/>
      </c>
      <c r="AB94" s="336" t="str">
        <f t="shared" si="435"/>
        <v/>
      </c>
      <c r="AC94" s="45"/>
      <c r="AD94" s="468" t="str">
        <f t="shared" si="436"/>
        <v/>
      </c>
      <c r="AE94" s="468" t="str">
        <f t="shared" si="437"/>
        <v/>
      </c>
      <c r="AF94" s="336" t="str">
        <f t="shared" si="438"/>
        <v/>
      </c>
      <c r="AG94" s="45"/>
      <c r="AH94" s="336" t="str">
        <f>IF(AK94="","",IF($W94="도비","-",CONCATENATE(AK94,"-",COUNTIF(AK$7:$AK94,AK94))))</f>
        <v/>
      </c>
      <c r="AI94" s="336" t="str">
        <f t="shared" si="439"/>
        <v/>
      </c>
      <c r="AJ94" s="45"/>
      <c r="AK94" s="336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32" t="str">
        <f>IF($AH94="","",IF($AH94="-",0, SUMIFS('5. 기출'!$AB$7:$AB$2012,'5. 기출'!$AJ$7:$AJ$2012,$AH94)))</f>
        <v/>
      </c>
      <c r="AN94" s="339" t="str">
        <f>IF($AH94="","",IF($AH94="-", 0, COUNTIF('5. 기출'!$AJ$7:$AJ$2012,$AH94)))</f>
        <v/>
      </c>
      <c r="AO94" s="336" t="str">
        <f t="shared" si="440"/>
        <v/>
      </c>
      <c r="AP94" s="46"/>
      <c r="AQ94" s="432" t="str">
        <f>IF($AH94="","",IF($AH94="-",0, SUMIFS('5. 기출'!$AF$7:$AF$2012,'5. 기출'!$AJ$7:$AJ$2012,$AH94)))</f>
        <v/>
      </c>
      <c r="AR94" s="339" t="str">
        <f>IF($AH94="","",IF($AH94="-", 0, COUNTIF('5. 기출'!$AJ$7:$AJ$2012,$AH94)))</f>
        <v/>
      </c>
      <c r="AS94" s="336" t="str">
        <f t="shared" si="441"/>
        <v/>
      </c>
    </row>
    <row r="95" spans="1:45" ht="60" customHeight="1">
      <c r="A95" s="141"/>
      <c r="B95" s="886" t="s">
        <v>1108</v>
      </c>
      <c r="C95" s="886"/>
      <c r="D95" s="886"/>
      <c r="E95" s="886"/>
      <c r="F95" s="886"/>
      <c r="G95" s="886"/>
      <c r="H95" s="78"/>
      <c r="I95" s="78"/>
      <c r="J95" s="313" t="str">
        <f>SUBTOTAL(3,J96:J98)&amp;"건"</f>
        <v>0건</v>
      </c>
      <c r="K95" s="418">
        <f t="shared" ref="K95:Q95" si="445">SUBTOTAL(9,K96:K98)</f>
        <v>0</v>
      </c>
      <c r="L95" s="418">
        <f t="shared" si="445"/>
        <v>0</v>
      </c>
      <c r="M95" s="418">
        <f t="shared" si="445"/>
        <v>0</v>
      </c>
      <c r="N95" s="418">
        <f t="shared" si="445"/>
        <v>0</v>
      </c>
      <c r="O95" s="418">
        <f t="shared" si="445"/>
        <v>0</v>
      </c>
      <c r="P95" s="418">
        <f t="shared" si="445"/>
        <v>0</v>
      </c>
      <c r="Q95" s="418">
        <f t="shared" si="445"/>
        <v>0</v>
      </c>
      <c r="R95" s="77"/>
      <c r="S95" s="77"/>
      <c r="T95" s="77"/>
      <c r="U95" s="77"/>
      <c r="V95" s="77"/>
      <c r="W95" s="79"/>
      <c r="X95" s="79"/>
      <c r="Y95" s="42"/>
      <c r="Z95" s="418">
        <f>SUBTOTAL(9,Z96:Z98)</f>
        <v>0</v>
      </c>
      <c r="AA95" s="418">
        <f>SUBTOTAL(9,AA96:AA98)</f>
        <v>0</v>
      </c>
      <c r="AB95" s="511" t="str">
        <f>IF(COUNTIF(AB96:AB98,"@@")&gt;0,"@@","OK")</f>
        <v>OK</v>
      </c>
      <c r="AC95" s="43"/>
      <c r="AD95" s="418">
        <f>SUBTOTAL(9,AD96:AD98)</f>
        <v>0</v>
      </c>
      <c r="AE95" s="418">
        <f>SUBTOTAL(9,AE96:AE98)</f>
        <v>0</v>
      </c>
      <c r="AF95" s="511" t="str">
        <f>IF(COUNTIF(AF96:AF98,"@@")&gt;0,"@@","OK")</f>
        <v>OK</v>
      </c>
      <c r="AG95" s="43"/>
      <c r="AH95" s="141"/>
      <c r="AI95" s="141"/>
      <c r="AJ95" s="43"/>
      <c r="AK95" s="141"/>
      <c r="AL95" s="43"/>
      <c r="AM95" s="418">
        <f>SUBTOTAL(9,AM96:AM98)</f>
        <v>0</v>
      </c>
      <c r="AN95" s="418">
        <f>SUBTOTAL(9,AN96:AN98)</f>
        <v>0</v>
      </c>
      <c r="AO95" s="511" t="str">
        <f>IF(COUNTIF(AO96:AO98,"@@")&gt;0,"@@","OK")</f>
        <v>OK</v>
      </c>
      <c r="AP95" s="43"/>
      <c r="AQ95" s="418">
        <f t="shared" ref="AQ95" si="446">SUBTOTAL(9,AQ96:AQ98)</f>
        <v>0</v>
      </c>
      <c r="AR95" s="418">
        <f t="shared" ref="AR95" si="447">SUBTOTAL(9,AR96:AR98)</f>
        <v>0</v>
      </c>
      <c r="AS95" s="511" t="str">
        <f>IF(COUNTIF(AS96:AS98,"@@")&gt;0,"@@","OK")</f>
        <v>OK</v>
      </c>
    </row>
    <row r="96" spans="1:45" s="19" customFormat="1" ht="80.099999999999994" customHeight="1">
      <c r="A96" s="126" t="str">
        <f>IF(D96="","",COUNTA($C$7:C96)-COUNTBLANK($C$7:C96)+23)</f>
        <v/>
      </c>
      <c r="B96" s="127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27" t="str">
        <f>IF(D96="","",IF(OR(D96="교육지원과",D96="총무과",D96="인사과"),"직접입력",VLOOKUP(D96,구분표!$A$3:$C$258,3,)))</f>
        <v/>
      </c>
      <c r="D96" s="194"/>
      <c r="E96" s="181"/>
      <c r="F96" s="350" t="str">
        <f>IF($E96="","",IF($E96="2추","직접입력","-"))</f>
        <v/>
      </c>
      <c r="G96" s="350" t="str">
        <f>IF($E96="","",IF($E96="2추","직접입력","-"))</f>
        <v/>
      </c>
      <c r="H96" s="182"/>
      <c r="I96" s="203" t="str">
        <f>IF(H96="","",VLOOKUP($H96,구분표!$O$3:$P$168,2,FALSE))</f>
        <v/>
      </c>
      <c r="J96" s="183"/>
      <c r="K96" s="419" t="str">
        <f>IF($E96="","",IF(OR($E96="2추",  $E96="1추", $E96="본예산"), "금액입력", "-"))</f>
        <v/>
      </c>
      <c r="L96" s="419" t="str">
        <f>IF($E96="", "", IF($E96="2추","금액입력", "-"))</f>
        <v/>
      </c>
      <c r="M96" s="421" t="str">
        <f t="shared" ref="M96:M98" si="448">IF($E96="","",SUM(K96:L96))</f>
        <v/>
      </c>
      <c r="N96" s="420"/>
      <c r="O96" s="421">
        <f t="shared" ref="O96:O98" si="449">SUM(M96:N96)</f>
        <v>0</v>
      </c>
      <c r="P96" s="422"/>
      <c r="Q96" s="423">
        <f t="shared" ref="Q96:Q98" si="450">SUM(M96,P96)</f>
        <v>0</v>
      </c>
      <c r="R96" s="133" t="str">
        <f t="shared" ref="R96:R98" si="451">IF(AND((O96=0),(Q96&gt;0)),"O",IF(AND((N96&lt;0),(O96-Q96&lt;0)),"O","X"))</f>
        <v>X</v>
      </c>
      <c r="S96" s="198"/>
      <c r="T96" s="193"/>
      <c r="U96" s="185"/>
      <c r="V96" s="172"/>
      <c r="W96" s="133" t="str">
        <f t="shared" ref="W96:W98" si="452">IF($H96="","",IF(OR($H96="511-01", $H96="511-02", $H96="511-03", $H96="311-02", $H96="311-04", $H96="321-01"),"국도비","도비"))</f>
        <v/>
      </c>
      <c r="X96" s="185"/>
      <c r="Y96" s="44"/>
      <c r="Z96" s="468" t="str">
        <f t="shared" ref="Z96:Z98" si="453">IF($W96="", "", IF($W96="국도비",$N96, 0))</f>
        <v/>
      </c>
      <c r="AA96" s="468" t="str">
        <f t="shared" ref="AA96:AA98" si="454">IF($W96="", "", IF($W96="도비",$N96, 0))</f>
        <v/>
      </c>
      <c r="AB96" s="336" t="str">
        <f t="shared" ref="AB96:AB98" si="455">IF($W96="", "", IF($N96=SUM($Z96:$AA96),"OK","@@"))</f>
        <v/>
      </c>
      <c r="AC96" s="45"/>
      <c r="AD96" s="468" t="str">
        <f t="shared" ref="AD96:AD98" si="456">IF($W96="", "", IF($W96="국도비",$P96, 0))</f>
        <v/>
      </c>
      <c r="AE96" s="468" t="str">
        <f t="shared" ref="AE96:AE98" si="457">IF($W96="", "", IF($W96="도비",$P96, 0))</f>
        <v/>
      </c>
      <c r="AF96" s="336" t="str">
        <f t="shared" ref="AF96:AF98" si="458">IF($W96="", "", IF($P96=SUM($AD96:$AE96),"OK","@@"))</f>
        <v/>
      </c>
      <c r="AG96" s="45"/>
      <c r="AH96" s="336" t="str">
        <f>IF(AK96="","",IF($W96="도비","-",CONCATENATE(AK96,"-",COUNTIF(AK$7:$AK96,AK96))))</f>
        <v/>
      </c>
      <c r="AI96" s="336" t="str">
        <f t="shared" ref="AI96:AI98" si="459">IF($H96="","",IF($H96="511-01","국비",IF($H96="511-02","균특",IF($H96="511-03","기금",IF($H96="311-02","특교",IF($H96="311-04","소교",IF($H96="321-01","소멸","도비")))))))</f>
        <v/>
      </c>
      <c r="AJ96" s="45"/>
      <c r="AK96" s="336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32" t="str">
        <f>IF($AH96="","",IF($AH96="-",0, SUMIFS('5. 기출'!$AB$7:$AB$2012,'5. 기출'!$AJ$7:$AJ$2012,$AH96)))</f>
        <v/>
      </c>
      <c r="AN96" s="339" t="str">
        <f>IF($AH96="","",IF($AH96="-", 0, COUNTIF('5. 기출'!$AJ$7:$AJ$2012,$AH96)))</f>
        <v/>
      </c>
      <c r="AO96" s="336" t="str">
        <f t="shared" ref="AO96:AO98" si="460">IF($AH96="", "", IF($Z96=$AM96,"OK","@@"))</f>
        <v/>
      </c>
      <c r="AP96" s="46"/>
      <c r="AQ96" s="432" t="str">
        <f>IF($AH96="","",IF($AH96="-",0, SUMIFS('5. 기출'!$AF$7:$AF$2012,'5. 기출'!$AJ$7:$AJ$2012,$AH96)))</f>
        <v/>
      </c>
      <c r="AR96" s="339" t="str">
        <f>IF($AH96="","",IF($AH96="-", 0, COUNTIF('5. 기출'!$AJ$7:$AJ$2012,$AH96)))</f>
        <v/>
      </c>
      <c r="AS96" s="336" t="str">
        <f t="shared" ref="AS96:AS98" si="461">IF($AH96="", "", IF($AD96=$AQ96,"OK","@@"))</f>
        <v/>
      </c>
    </row>
    <row r="97" spans="1:45" s="19" customFormat="1" ht="80.099999999999994" customHeight="1">
      <c r="A97" s="126" t="str">
        <f>IF(D97="","",COUNTA($C$7:C97)-COUNTBLANK($C$7:C97)+23)</f>
        <v/>
      </c>
      <c r="B97" s="127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27" t="str">
        <f>IF(D97="","",IF(OR(D97="교육지원과",D97="총무과",D97="인사과"),"직접입력",VLOOKUP(D97,구분표!$A$3:$C$258,3,)))</f>
        <v/>
      </c>
      <c r="D97" s="194"/>
      <c r="E97" s="181"/>
      <c r="F97" s="350" t="str">
        <f t="shared" ref="F97:G98" si="462">IF($E97="","",IF($E97="2추","직접입력","-"))</f>
        <v/>
      </c>
      <c r="G97" s="350" t="str">
        <f t="shared" si="462"/>
        <v/>
      </c>
      <c r="H97" s="182"/>
      <c r="I97" s="203" t="str">
        <f>IF(H97="","",VLOOKUP($H97,구분표!$O$3:$P$168,2,FALSE))</f>
        <v/>
      </c>
      <c r="J97" s="183"/>
      <c r="K97" s="419" t="str">
        <f t="shared" ref="K97:K98" si="463">IF($E97="","",IF(OR($E97="2추",  $E97="1추", $E97="본예산"), "금액입력", "-"))</f>
        <v/>
      </c>
      <c r="L97" s="419" t="str">
        <f t="shared" ref="L97:L98" si="464">IF($E97="", "", IF($E97="2추","금액입력", "-"))</f>
        <v/>
      </c>
      <c r="M97" s="421" t="str">
        <f t="shared" si="448"/>
        <v/>
      </c>
      <c r="N97" s="420"/>
      <c r="O97" s="421">
        <f t="shared" si="449"/>
        <v>0</v>
      </c>
      <c r="P97" s="422"/>
      <c r="Q97" s="423">
        <f t="shared" si="450"/>
        <v>0</v>
      </c>
      <c r="R97" s="133" t="str">
        <f t="shared" si="451"/>
        <v>X</v>
      </c>
      <c r="S97" s="198"/>
      <c r="T97" s="193"/>
      <c r="U97" s="185"/>
      <c r="V97" s="172"/>
      <c r="W97" s="133" t="str">
        <f t="shared" si="452"/>
        <v/>
      </c>
      <c r="X97" s="185"/>
      <c r="Y97" s="44"/>
      <c r="Z97" s="468" t="str">
        <f t="shared" si="453"/>
        <v/>
      </c>
      <c r="AA97" s="468" t="str">
        <f t="shared" si="454"/>
        <v/>
      </c>
      <c r="AB97" s="336" t="str">
        <f t="shared" si="455"/>
        <v/>
      </c>
      <c r="AC97" s="45"/>
      <c r="AD97" s="468" t="str">
        <f t="shared" si="456"/>
        <v/>
      </c>
      <c r="AE97" s="468" t="str">
        <f t="shared" si="457"/>
        <v/>
      </c>
      <c r="AF97" s="336" t="str">
        <f t="shared" si="458"/>
        <v/>
      </c>
      <c r="AG97" s="45"/>
      <c r="AH97" s="336" t="str">
        <f>IF(AK97="","",IF($W97="도비","-",CONCATENATE(AK97,"-",COUNTIF(AK$7:$AK97,AK97))))</f>
        <v/>
      </c>
      <c r="AI97" s="336" t="str">
        <f t="shared" si="459"/>
        <v/>
      </c>
      <c r="AJ97" s="45"/>
      <c r="AK97" s="336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32" t="str">
        <f>IF($AH97="","",IF($AH97="-",0, SUMIFS('5. 기출'!$AB$7:$AB$2012,'5. 기출'!$AJ$7:$AJ$2012,$AH97)))</f>
        <v/>
      </c>
      <c r="AN97" s="339" t="str">
        <f>IF($AH97="","",IF($AH97="-", 0, COUNTIF('5. 기출'!$AJ$7:$AJ$2012,$AH97)))</f>
        <v/>
      </c>
      <c r="AO97" s="336" t="str">
        <f t="shared" si="460"/>
        <v/>
      </c>
      <c r="AP97" s="46"/>
      <c r="AQ97" s="432" t="str">
        <f>IF($AH97="","",IF($AH97="-",0, SUMIFS('5. 기출'!$AF$7:$AF$2012,'5. 기출'!$AJ$7:$AJ$2012,$AH97)))</f>
        <v/>
      </c>
      <c r="AR97" s="339" t="str">
        <f>IF($AH97="","",IF($AH97="-", 0, COUNTIF('5. 기출'!$AJ$7:$AJ$2012,$AH97)))</f>
        <v/>
      </c>
      <c r="AS97" s="336" t="str">
        <f t="shared" si="461"/>
        <v/>
      </c>
    </row>
    <row r="98" spans="1:45" s="19" customFormat="1" ht="80.099999999999994" customHeight="1">
      <c r="A98" s="126" t="str">
        <f>IF(D98="","",COUNTA($C$7:C98)-COUNTBLANK($C$7:C98)+23)</f>
        <v/>
      </c>
      <c r="B98" s="127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27" t="str">
        <f>IF(D98="","",IF(OR(D98="교육지원과",D98="총무과",D98="인사과"),"직접입력",VLOOKUP(D98,구분표!$A$3:$C$258,3,)))</f>
        <v/>
      </c>
      <c r="D98" s="194"/>
      <c r="E98" s="181"/>
      <c r="F98" s="350" t="str">
        <f t="shared" si="462"/>
        <v/>
      </c>
      <c r="G98" s="350" t="str">
        <f t="shared" si="462"/>
        <v/>
      </c>
      <c r="H98" s="182"/>
      <c r="I98" s="203" t="str">
        <f>IF(H98="","",VLOOKUP($H98,구분표!$O$3:$P$168,2,FALSE))</f>
        <v/>
      </c>
      <c r="J98" s="183"/>
      <c r="K98" s="419" t="str">
        <f t="shared" si="463"/>
        <v/>
      </c>
      <c r="L98" s="419" t="str">
        <f t="shared" si="464"/>
        <v/>
      </c>
      <c r="M98" s="421" t="str">
        <f t="shared" si="448"/>
        <v/>
      </c>
      <c r="N98" s="420"/>
      <c r="O98" s="421">
        <f t="shared" si="449"/>
        <v>0</v>
      </c>
      <c r="P98" s="422"/>
      <c r="Q98" s="423">
        <f t="shared" si="450"/>
        <v>0</v>
      </c>
      <c r="R98" s="133" t="str">
        <f t="shared" si="451"/>
        <v>X</v>
      </c>
      <c r="S98" s="198"/>
      <c r="T98" s="193"/>
      <c r="U98" s="185"/>
      <c r="V98" s="172"/>
      <c r="W98" s="133" t="str">
        <f t="shared" si="452"/>
        <v/>
      </c>
      <c r="X98" s="185"/>
      <c r="Y98" s="44"/>
      <c r="Z98" s="468" t="str">
        <f t="shared" si="453"/>
        <v/>
      </c>
      <c r="AA98" s="468" t="str">
        <f t="shared" si="454"/>
        <v/>
      </c>
      <c r="AB98" s="336" t="str">
        <f t="shared" si="455"/>
        <v/>
      </c>
      <c r="AC98" s="45"/>
      <c r="AD98" s="468" t="str">
        <f t="shared" si="456"/>
        <v/>
      </c>
      <c r="AE98" s="468" t="str">
        <f t="shared" si="457"/>
        <v/>
      </c>
      <c r="AF98" s="336" t="str">
        <f t="shared" si="458"/>
        <v/>
      </c>
      <c r="AG98" s="45"/>
      <c r="AH98" s="336" t="str">
        <f>IF(AK98="","",IF($W98="도비","-",CONCATENATE(AK98,"-",COUNTIF(AK$7:$AK98,AK98))))</f>
        <v/>
      </c>
      <c r="AI98" s="336" t="str">
        <f t="shared" si="459"/>
        <v/>
      </c>
      <c r="AJ98" s="45"/>
      <c r="AK98" s="336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32" t="str">
        <f>IF($AH98="","",IF($AH98="-",0, SUMIFS('5. 기출'!$AB$7:$AB$2012,'5. 기출'!$AJ$7:$AJ$2012,$AH98)))</f>
        <v/>
      </c>
      <c r="AN98" s="339" t="str">
        <f>IF($AH98="","",IF($AH98="-", 0, COUNTIF('5. 기출'!$AJ$7:$AJ$2012,$AH98)))</f>
        <v/>
      </c>
      <c r="AO98" s="336" t="str">
        <f t="shared" si="460"/>
        <v/>
      </c>
      <c r="AP98" s="46"/>
      <c r="AQ98" s="432" t="str">
        <f>IF($AH98="","",IF($AH98="-",0, SUMIFS('5. 기출'!$AF$7:$AF$2012,'5. 기출'!$AJ$7:$AJ$2012,$AH98)))</f>
        <v/>
      </c>
      <c r="AR98" s="339" t="str">
        <f>IF($AH98="","",IF($AH98="-", 0, COUNTIF('5. 기출'!$AJ$7:$AJ$2012,$AH98)))</f>
        <v/>
      </c>
      <c r="AS98" s="336" t="str">
        <f t="shared" si="461"/>
        <v/>
      </c>
    </row>
    <row r="99" spans="1:45" ht="60" customHeight="1">
      <c r="A99" s="141"/>
      <c r="B99" s="886" t="s">
        <v>796</v>
      </c>
      <c r="C99" s="886"/>
      <c r="D99" s="886"/>
      <c r="E99" s="886"/>
      <c r="F99" s="886"/>
      <c r="G99" s="886"/>
      <c r="H99" s="78"/>
      <c r="I99" s="78"/>
      <c r="J99" s="313" t="str">
        <f>SUBTOTAL(3,J100:J102)&amp;"건"</f>
        <v>0건</v>
      </c>
      <c r="K99" s="418">
        <f t="shared" ref="K99:Q99" si="465">SUBTOTAL(9,K100:K102)</f>
        <v>0</v>
      </c>
      <c r="L99" s="418">
        <f t="shared" si="465"/>
        <v>0</v>
      </c>
      <c r="M99" s="418">
        <f t="shared" si="465"/>
        <v>0</v>
      </c>
      <c r="N99" s="418">
        <f t="shared" si="465"/>
        <v>0</v>
      </c>
      <c r="O99" s="418">
        <f t="shared" si="465"/>
        <v>0</v>
      </c>
      <c r="P99" s="418">
        <f t="shared" si="465"/>
        <v>0</v>
      </c>
      <c r="Q99" s="418">
        <f t="shared" si="465"/>
        <v>0</v>
      </c>
      <c r="R99" s="77"/>
      <c r="S99" s="77"/>
      <c r="T99" s="77"/>
      <c r="U99" s="77"/>
      <c r="V99" s="77"/>
      <c r="W99" s="79"/>
      <c r="X99" s="79"/>
      <c r="Y99" s="42"/>
      <c r="Z99" s="418">
        <f>SUBTOTAL(9,Z100:Z102)</f>
        <v>0</v>
      </c>
      <c r="AA99" s="418">
        <f>SUBTOTAL(9,AA100:AA102)</f>
        <v>0</v>
      </c>
      <c r="AB99" s="511" t="str">
        <f>IF(COUNTIF(AB100:AB102,"@@")&gt;0,"@@","OK")</f>
        <v>OK</v>
      </c>
      <c r="AC99" s="43"/>
      <c r="AD99" s="418">
        <f>SUBTOTAL(9,AD100:AD102)</f>
        <v>0</v>
      </c>
      <c r="AE99" s="418">
        <f>SUBTOTAL(9,AE100:AE102)</f>
        <v>0</v>
      </c>
      <c r="AF99" s="511" t="str">
        <f>IF(COUNTIF(AF100:AF102,"@@")&gt;0,"@@","OK")</f>
        <v>OK</v>
      </c>
      <c r="AG99" s="43"/>
      <c r="AH99" s="141"/>
      <c r="AI99" s="141"/>
      <c r="AJ99" s="43"/>
      <c r="AK99" s="141"/>
      <c r="AL99" s="43"/>
      <c r="AM99" s="418">
        <f>SUBTOTAL(9,AM100:AM102)</f>
        <v>0</v>
      </c>
      <c r="AN99" s="418">
        <f>SUBTOTAL(9,AN100:AN102)</f>
        <v>0</v>
      </c>
      <c r="AO99" s="511" t="str">
        <f>IF(COUNTIF(AO100:AO102,"@@")&gt;0,"@@","OK")</f>
        <v>OK</v>
      </c>
      <c r="AP99" s="43"/>
      <c r="AQ99" s="418">
        <f t="shared" ref="AQ99" si="466">SUBTOTAL(9,AQ100:AQ102)</f>
        <v>0</v>
      </c>
      <c r="AR99" s="418">
        <f t="shared" ref="AR99" si="467">SUBTOTAL(9,AR100:AR102)</f>
        <v>0</v>
      </c>
      <c r="AS99" s="511" t="str">
        <f>IF(COUNTIF(AS100:AS102,"@@")&gt;0,"@@","OK")</f>
        <v>OK</v>
      </c>
    </row>
    <row r="100" spans="1:45" s="19" customFormat="1" ht="80.099999999999994" customHeight="1">
      <c r="A100" s="126" t="str">
        <f>IF(D100="","",COUNTA($C$7:C100)-COUNTBLANK($C$7:C100)+24)</f>
        <v/>
      </c>
      <c r="B100" s="127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27" t="str">
        <f>IF(D100="","",IF(OR(D100="교육지원과",D100="총무과",D100="인사과"),"직접입력",VLOOKUP(D100,구분표!$A$3:$C$258,3,)))</f>
        <v/>
      </c>
      <c r="D100" s="194"/>
      <c r="E100" s="181"/>
      <c r="F100" s="350" t="str">
        <f>IF($E100="","",IF($E100="2추","직접입력","-"))</f>
        <v/>
      </c>
      <c r="G100" s="350" t="str">
        <f>IF($E100="","",IF($E100="2추","직접입력","-"))</f>
        <v/>
      </c>
      <c r="H100" s="182"/>
      <c r="I100" s="203" t="str">
        <f>IF(H100="","",VLOOKUP($H100,구분표!$O$3:$P$168,2,FALSE))</f>
        <v/>
      </c>
      <c r="J100" s="183"/>
      <c r="K100" s="419" t="str">
        <f>IF($E100="","",IF(OR($E100="2추",  $E100="1추", $E100="본예산"), "금액입력", "-"))</f>
        <v/>
      </c>
      <c r="L100" s="419" t="str">
        <f>IF($E100="", "", IF($E100="2추","금액입력", "-"))</f>
        <v/>
      </c>
      <c r="M100" s="421" t="str">
        <f t="shared" ref="M100:M102" si="468">IF($E100="","",SUM(K100:L100))</f>
        <v/>
      </c>
      <c r="N100" s="420"/>
      <c r="O100" s="421">
        <f t="shared" ref="O100:O102" si="469">SUM(M100:N100)</f>
        <v>0</v>
      </c>
      <c r="P100" s="422"/>
      <c r="Q100" s="423">
        <f t="shared" ref="Q100:Q102" si="470">SUM(M100,P100)</f>
        <v>0</v>
      </c>
      <c r="R100" s="133" t="str">
        <f t="shared" ref="R100:R102" si="471">IF(AND((O100=0),(Q100&gt;0)),"O",IF(AND((N100&lt;0),(O100-Q100&lt;0)),"O","X"))</f>
        <v>X</v>
      </c>
      <c r="S100" s="198"/>
      <c r="T100" s="193"/>
      <c r="U100" s="185"/>
      <c r="V100" s="172"/>
      <c r="W100" s="133" t="str">
        <f t="shared" ref="W100:W102" si="472">IF($H100="","",IF(OR($H100="511-01", $H100="511-02", $H100="511-03", $H100="311-02", $H100="311-04", $H100="321-01"),"국도비","도비"))</f>
        <v/>
      </c>
      <c r="X100" s="185"/>
      <c r="Y100" s="44"/>
      <c r="Z100" s="468" t="str">
        <f t="shared" ref="Z100:Z102" si="473">IF($W100="", "", IF($W100="국도비",$N100, 0))</f>
        <v/>
      </c>
      <c r="AA100" s="468" t="str">
        <f t="shared" ref="AA100:AA102" si="474">IF($W100="", "", IF($W100="도비",$N100, 0))</f>
        <v/>
      </c>
      <c r="AB100" s="336" t="str">
        <f t="shared" ref="AB100:AB102" si="475">IF($W100="", "", IF($N100=SUM($Z100:$AA100),"OK","@@"))</f>
        <v/>
      </c>
      <c r="AC100" s="45"/>
      <c r="AD100" s="468" t="str">
        <f t="shared" ref="AD100:AD102" si="476">IF($W100="", "", IF($W100="국도비",$P100, 0))</f>
        <v/>
      </c>
      <c r="AE100" s="468" t="str">
        <f t="shared" ref="AE100:AE102" si="477">IF($W100="", "", IF($W100="도비",$P100, 0))</f>
        <v/>
      </c>
      <c r="AF100" s="336" t="str">
        <f t="shared" ref="AF100:AF102" si="478">IF($W100="", "", IF($P100=SUM($AD100:$AE100),"OK","@@"))</f>
        <v/>
      </c>
      <c r="AG100" s="45"/>
      <c r="AH100" s="336" t="str">
        <f>IF(AK100="","",IF($W100="도비","-",CONCATENATE(AK100,"-",COUNTIF(AK$7:$AK100,AK100))))</f>
        <v/>
      </c>
      <c r="AI100" s="336" t="str">
        <f t="shared" ref="AI100:AI102" si="479">IF($H100="","",IF($H100="511-01","국비",IF($H100="511-02","균특",IF($H100="511-03","기금",IF($H100="311-02","특교",IF($H100="311-04","소교",IF($H100="321-01","소멸","도비")))))))</f>
        <v/>
      </c>
      <c r="AJ100" s="45"/>
      <c r="AK100" s="336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32" t="str">
        <f>IF($AH100="","",IF($AH100="-",0, SUMIFS('5. 기출'!$AB$7:$AB$2012,'5. 기출'!$AJ$7:$AJ$2012,$AH100)))</f>
        <v/>
      </c>
      <c r="AN100" s="339" t="str">
        <f>IF($AH100="","",IF($AH100="-", 0, COUNTIF('5. 기출'!$AJ$7:$AJ$2012,$AH100)))</f>
        <v/>
      </c>
      <c r="AO100" s="336" t="str">
        <f t="shared" ref="AO100:AO102" si="480">IF($AH100="", "", IF($Z100=$AM100,"OK","@@"))</f>
        <v/>
      </c>
      <c r="AP100" s="46"/>
      <c r="AQ100" s="432" t="str">
        <f>IF($AH100="","",IF($AH100="-",0, SUMIFS('5. 기출'!$AF$7:$AF$2012,'5. 기출'!$AJ$7:$AJ$2012,$AH100)))</f>
        <v/>
      </c>
      <c r="AR100" s="339" t="str">
        <f>IF($AH100="","",IF($AH100="-", 0, COUNTIF('5. 기출'!$AJ$7:$AJ$2012,$AH100)))</f>
        <v/>
      </c>
      <c r="AS100" s="336" t="str">
        <f t="shared" ref="AS100:AS102" si="481">IF($AH100="", "", IF($AD100=$AQ100,"OK","@@"))</f>
        <v/>
      </c>
    </row>
    <row r="101" spans="1:45" s="19" customFormat="1" ht="80.099999999999994" customHeight="1">
      <c r="A101" s="126" t="str">
        <f>IF(D101="","",COUNTA($C$7:C101)-COUNTBLANK($C$7:C101)+24)</f>
        <v/>
      </c>
      <c r="B101" s="127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27" t="str">
        <f>IF(D101="","",IF(OR(D101="교육지원과",D101="총무과",D101="인사과"),"직접입력",VLOOKUP(D101,구분표!$A$3:$C$258,3,)))</f>
        <v/>
      </c>
      <c r="D101" s="194"/>
      <c r="E101" s="181"/>
      <c r="F101" s="350" t="str">
        <f t="shared" ref="F101:G102" si="482">IF($E101="","",IF($E101="2추","직접입력","-"))</f>
        <v/>
      </c>
      <c r="G101" s="350" t="str">
        <f t="shared" si="482"/>
        <v/>
      </c>
      <c r="H101" s="182"/>
      <c r="I101" s="203" t="str">
        <f>IF(H101="","",VLOOKUP($H101,구분표!$O$3:$P$168,2,FALSE))</f>
        <v/>
      </c>
      <c r="J101" s="183"/>
      <c r="K101" s="419" t="str">
        <f t="shared" ref="K101:K102" si="483">IF($E101="","",IF(OR($E101="2추",  $E101="1추", $E101="본예산"), "금액입력", "-"))</f>
        <v/>
      </c>
      <c r="L101" s="419" t="str">
        <f t="shared" ref="L101:L102" si="484">IF($E101="", "", IF($E101="2추","금액입력", "-"))</f>
        <v/>
      </c>
      <c r="M101" s="421" t="str">
        <f t="shared" si="468"/>
        <v/>
      </c>
      <c r="N101" s="420"/>
      <c r="O101" s="421">
        <f t="shared" si="469"/>
        <v>0</v>
      </c>
      <c r="P101" s="422"/>
      <c r="Q101" s="423">
        <f t="shared" si="470"/>
        <v>0</v>
      </c>
      <c r="R101" s="133" t="str">
        <f t="shared" si="471"/>
        <v>X</v>
      </c>
      <c r="S101" s="198"/>
      <c r="T101" s="193"/>
      <c r="U101" s="185"/>
      <c r="V101" s="172"/>
      <c r="W101" s="133" t="str">
        <f t="shared" si="472"/>
        <v/>
      </c>
      <c r="X101" s="185"/>
      <c r="Y101" s="44"/>
      <c r="Z101" s="468" t="str">
        <f t="shared" si="473"/>
        <v/>
      </c>
      <c r="AA101" s="468" t="str">
        <f t="shared" si="474"/>
        <v/>
      </c>
      <c r="AB101" s="336" t="str">
        <f t="shared" si="475"/>
        <v/>
      </c>
      <c r="AC101" s="45"/>
      <c r="AD101" s="468" t="str">
        <f t="shared" si="476"/>
        <v/>
      </c>
      <c r="AE101" s="468" t="str">
        <f t="shared" si="477"/>
        <v/>
      </c>
      <c r="AF101" s="336" t="str">
        <f t="shared" si="478"/>
        <v/>
      </c>
      <c r="AG101" s="45"/>
      <c r="AH101" s="336" t="str">
        <f>IF(AK101="","",IF($W101="도비","-",CONCATENATE(AK101,"-",COUNTIF(AK$7:$AK101,AK101))))</f>
        <v/>
      </c>
      <c r="AI101" s="336" t="str">
        <f t="shared" si="479"/>
        <v/>
      </c>
      <c r="AJ101" s="45"/>
      <c r="AK101" s="336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32" t="str">
        <f>IF($AH101="","",IF($AH101="-",0, SUMIFS('5. 기출'!$AB$7:$AB$2012,'5. 기출'!$AJ$7:$AJ$2012,$AH101)))</f>
        <v/>
      </c>
      <c r="AN101" s="339" t="str">
        <f>IF($AH101="","",IF($AH101="-", 0, COUNTIF('5. 기출'!$AJ$7:$AJ$2012,$AH101)))</f>
        <v/>
      </c>
      <c r="AO101" s="336" t="str">
        <f t="shared" si="480"/>
        <v/>
      </c>
      <c r="AP101" s="46"/>
      <c r="AQ101" s="432" t="str">
        <f>IF($AH101="","",IF($AH101="-",0, SUMIFS('5. 기출'!$AF$7:$AF$2012,'5. 기출'!$AJ$7:$AJ$2012,$AH101)))</f>
        <v/>
      </c>
      <c r="AR101" s="339" t="str">
        <f>IF($AH101="","",IF($AH101="-", 0, COUNTIF('5. 기출'!$AJ$7:$AJ$2012,$AH101)))</f>
        <v/>
      </c>
      <c r="AS101" s="336" t="str">
        <f t="shared" si="481"/>
        <v/>
      </c>
    </row>
    <row r="102" spans="1:45" s="19" customFormat="1" ht="80.099999999999994" customHeight="1">
      <c r="A102" s="126" t="str">
        <f>IF(D102="","",COUNTA($C$7:C102)-COUNTBLANK($C$7:C102)+24)</f>
        <v/>
      </c>
      <c r="B102" s="127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27" t="str">
        <f>IF(D102="","",IF(OR(D102="교육지원과",D102="총무과",D102="인사과"),"직접입력",VLOOKUP(D102,구분표!$A$3:$C$258,3,)))</f>
        <v/>
      </c>
      <c r="D102" s="194"/>
      <c r="E102" s="181"/>
      <c r="F102" s="350" t="str">
        <f t="shared" si="482"/>
        <v/>
      </c>
      <c r="G102" s="350" t="str">
        <f t="shared" si="482"/>
        <v/>
      </c>
      <c r="H102" s="182"/>
      <c r="I102" s="203" t="str">
        <f>IF(H102="","",VLOOKUP($H102,구분표!$O$3:$P$168,2,FALSE))</f>
        <v/>
      </c>
      <c r="J102" s="183"/>
      <c r="K102" s="419" t="str">
        <f t="shared" si="483"/>
        <v/>
      </c>
      <c r="L102" s="419" t="str">
        <f t="shared" si="484"/>
        <v/>
      </c>
      <c r="M102" s="421" t="str">
        <f t="shared" si="468"/>
        <v/>
      </c>
      <c r="N102" s="420"/>
      <c r="O102" s="421">
        <f t="shared" si="469"/>
        <v>0</v>
      </c>
      <c r="P102" s="422"/>
      <c r="Q102" s="423">
        <f t="shared" si="470"/>
        <v>0</v>
      </c>
      <c r="R102" s="133" t="str">
        <f t="shared" si="471"/>
        <v>X</v>
      </c>
      <c r="S102" s="198"/>
      <c r="T102" s="193"/>
      <c r="U102" s="185"/>
      <c r="V102" s="172"/>
      <c r="W102" s="133" t="str">
        <f t="shared" si="472"/>
        <v/>
      </c>
      <c r="X102" s="185"/>
      <c r="Y102" s="44"/>
      <c r="Z102" s="468" t="str">
        <f t="shared" si="473"/>
        <v/>
      </c>
      <c r="AA102" s="468" t="str">
        <f t="shared" si="474"/>
        <v/>
      </c>
      <c r="AB102" s="336" t="str">
        <f t="shared" si="475"/>
        <v/>
      </c>
      <c r="AC102" s="45"/>
      <c r="AD102" s="468" t="str">
        <f t="shared" si="476"/>
        <v/>
      </c>
      <c r="AE102" s="468" t="str">
        <f t="shared" si="477"/>
        <v/>
      </c>
      <c r="AF102" s="336" t="str">
        <f t="shared" si="478"/>
        <v/>
      </c>
      <c r="AG102" s="45"/>
      <c r="AH102" s="336" t="str">
        <f>IF(AK102="","",IF($W102="도비","-",CONCATENATE(AK102,"-",COUNTIF(AK$7:$AK102,AK102))))</f>
        <v/>
      </c>
      <c r="AI102" s="336" t="str">
        <f t="shared" si="479"/>
        <v/>
      </c>
      <c r="AJ102" s="45"/>
      <c r="AK102" s="336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32" t="str">
        <f>IF($AH102="","",IF($AH102="-",0, SUMIFS('5. 기출'!$AB$7:$AB$2012,'5. 기출'!$AJ$7:$AJ$2012,$AH102)))</f>
        <v/>
      </c>
      <c r="AN102" s="339" t="str">
        <f>IF($AH102="","",IF($AH102="-", 0, COUNTIF('5. 기출'!$AJ$7:$AJ$2012,$AH102)))</f>
        <v/>
      </c>
      <c r="AO102" s="336" t="str">
        <f t="shared" si="480"/>
        <v/>
      </c>
      <c r="AP102" s="46"/>
      <c r="AQ102" s="432" t="str">
        <f>IF($AH102="","",IF($AH102="-",0, SUMIFS('5. 기출'!$AF$7:$AF$2012,'5. 기출'!$AJ$7:$AJ$2012,$AH102)))</f>
        <v/>
      </c>
      <c r="AR102" s="339" t="str">
        <f>IF($AH102="","",IF($AH102="-", 0, COUNTIF('5. 기출'!$AJ$7:$AJ$2012,$AH102)))</f>
        <v/>
      </c>
      <c r="AS102" s="336" t="str">
        <f t="shared" si="481"/>
        <v/>
      </c>
    </row>
    <row r="103" spans="1:45" ht="60" customHeight="1">
      <c r="A103" s="141"/>
      <c r="B103" s="886" t="s">
        <v>797</v>
      </c>
      <c r="C103" s="886"/>
      <c r="D103" s="886"/>
      <c r="E103" s="886"/>
      <c r="F103" s="886"/>
      <c r="G103" s="886"/>
      <c r="H103" s="78"/>
      <c r="I103" s="78"/>
      <c r="J103" s="313" t="str">
        <f>SUBTOTAL(3,J104:J106)&amp;"건"</f>
        <v>0건</v>
      </c>
      <c r="K103" s="418">
        <f t="shared" ref="K103:Q103" si="485">SUBTOTAL(9,K104:K106)</f>
        <v>0</v>
      </c>
      <c r="L103" s="418">
        <f t="shared" si="485"/>
        <v>0</v>
      </c>
      <c r="M103" s="418">
        <f t="shared" si="485"/>
        <v>0</v>
      </c>
      <c r="N103" s="418">
        <f t="shared" si="485"/>
        <v>0</v>
      </c>
      <c r="O103" s="418">
        <f t="shared" si="485"/>
        <v>0</v>
      </c>
      <c r="P103" s="418">
        <f t="shared" si="485"/>
        <v>0</v>
      </c>
      <c r="Q103" s="418">
        <f t="shared" si="485"/>
        <v>0</v>
      </c>
      <c r="R103" s="77"/>
      <c r="S103" s="77"/>
      <c r="T103" s="77"/>
      <c r="U103" s="77"/>
      <c r="V103" s="77"/>
      <c r="W103" s="79"/>
      <c r="X103" s="79"/>
      <c r="Y103" s="42"/>
      <c r="Z103" s="418">
        <f>SUBTOTAL(9,Z104:Z106)</f>
        <v>0</v>
      </c>
      <c r="AA103" s="418">
        <f>SUBTOTAL(9,AA104:AA106)</f>
        <v>0</v>
      </c>
      <c r="AB103" s="511" t="str">
        <f>IF(COUNTIF(AB104:AB106,"@@")&gt;0,"@@","OK")</f>
        <v>OK</v>
      </c>
      <c r="AC103" s="43"/>
      <c r="AD103" s="418">
        <f>SUBTOTAL(9,AD104:AD106)</f>
        <v>0</v>
      </c>
      <c r="AE103" s="418">
        <f>SUBTOTAL(9,AE104:AE106)</f>
        <v>0</v>
      </c>
      <c r="AF103" s="511" t="str">
        <f>IF(COUNTIF(AF104:AF106,"@@")&gt;0,"@@","OK")</f>
        <v>OK</v>
      </c>
      <c r="AG103" s="43"/>
      <c r="AH103" s="141"/>
      <c r="AI103" s="141"/>
      <c r="AJ103" s="43"/>
      <c r="AK103" s="141"/>
      <c r="AL103" s="43"/>
      <c r="AM103" s="418">
        <f>SUBTOTAL(9,AM104:AM106)</f>
        <v>0</v>
      </c>
      <c r="AN103" s="418">
        <f>SUBTOTAL(9,AN104:AN106)</f>
        <v>0</v>
      </c>
      <c r="AO103" s="511" t="str">
        <f>IF(COUNTIF(AO104:AO106,"@@")&gt;0,"@@","OK")</f>
        <v>OK</v>
      </c>
      <c r="AP103" s="43"/>
      <c r="AQ103" s="418">
        <f t="shared" ref="AQ103" si="486">SUBTOTAL(9,AQ104:AQ106)</f>
        <v>0</v>
      </c>
      <c r="AR103" s="418">
        <f t="shared" ref="AR103" si="487">SUBTOTAL(9,AR104:AR106)</f>
        <v>0</v>
      </c>
      <c r="AS103" s="511" t="str">
        <f>IF(COUNTIF(AS104:AS106,"@@")&gt;0,"@@","OK")</f>
        <v>OK</v>
      </c>
    </row>
    <row r="104" spans="1:45" s="19" customFormat="1" ht="80.099999999999994" customHeight="1">
      <c r="A104" s="126" t="str">
        <f>IF(D104="","",COUNTA($C$7:C104)-COUNTBLANK($C$7:C104)+25)</f>
        <v/>
      </c>
      <c r="B104" s="127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27" t="str">
        <f>IF(D104="","",IF(OR(D104="교육지원과",D104="총무과",D104="인사과"),"직접입력",VLOOKUP(D104,구분표!$A$3:$C$258,3,)))</f>
        <v/>
      </c>
      <c r="D104" s="194"/>
      <c r="E104" s="181"/>
      <c r="F104" s="350" t="str">
        <f>IF($E104="","",IF($E104="2추","직접입력","-"))</f>
        <v/>
      </c>
      <c r="G104" s="350" t="str">
        <f>IF($E104="","",IF($E104="2추","직접입력","-"))</f>
        <v/>
      </c>
      <c r="H104" s="182"/>
      <c r="I104" s="203" t="str">
        <f>IF(H104="","",VLOOKUP($H104,구분표!$O$3:$P$168,2,FALSE))</f>
        <v/>
      </c>
      <c r="J104" s="183"/>
      <c r="K104" s="419" t="str">
        <f>IF($E104="","",IF(OR($E104="2추",  $E104="1추", $E104="본예산"), "금액입력", "-"))</f>
        <v/>
      </c>
      <c r="L104" s="419" t="str">
        <f>IF($E104="", "", IF($E104="2추","금액입력", "-"))</f>
        <v/>
      </c>
      <c r="M104" s="421" t="str">
        <f t="shared" ref="M104:M106" si="488">IF($E104="","",SUM(K104:L104))</f>
        <v/>
      </c>
      <c r="N104" s="420"/>
      <c r="O104" s="421">
        <f t="shared" ref="O104:O106" si="489">SUM(M104:N104)</f>
        <v>0</v>
      </c>
      <c r="P104" s="422"/>
      <c r="Q104" s="423">
        <f t="shared" ref="Q104:Q106" si="490">SUM(M104,P104)</f>
        <v>0</v>
      </c>
      <c r="R104" s="133" t="str">
        <f t="shared" ref="R104:R106" si="491">IF(AND((O104=0),(Q104&gt;0)),"O",IF(AND((N104&lt;0),(O104-Q104&lt;0)),"O","X"))</f>
        <v>X</v>
      </c>
      <c r="S104" s="198"/>
      <c r="T104" s="193"/>
      <c r="U104" s="185"/>
      <c r="V104" s="172"/>
      <c r="W104" s="133" t="str">
        <f t="shared" ref="W104:W106" si="492">IF($H104="","",IF(OR($H104="511-01", $H104="511-02", $H104="511-03", $H104="311-02", $H104="311-04", $H104="321-01"),"국도비","도비"))</f>
        <v/>
      </c>
      <c r="X104" s="185"/>
      <c r="Y104" s="44"/>
      <c r="Z104" s="468" t="str">
        <f t="shared" ref="Z104:Z106" si="493">IF($W104="", "", IF($W104="국도비",$N104, 0))</f>
        <v/>
      </c>
      <c r="AA104" s="468" t="str">
        <f t="shared" ref="AA104:AA106" si="494">IF($W104="", "", IF($W104="도비",$N104, 0))</f>
        <v/>
      </c>
      <c r="AB104" s="336" t="str">
        <f t="shared" ref="AB104:AB106" si="495">IF($W104="", "", IF($N104=SUM($Z104:$AA104),"OK","@@"))</f>
        <v/>
      </c>
      <c r="AC104" s="45"/>
      <c r="AD104" s="468" t="str">
        <f t="shared" ref="AD104:AD106" si="496">IF($W104="", "", IF($W104="국도비",$P104, 0))</f>
        <v/>
      </c>
      <c r="AE104" s="468" t="str">
        <f t="shared" ref="AE104:AE106" si="497">IF($W104="", "", IF($W104="도비",$P104, 0))</f>
        <v/>
      </c>
      <c r="AF104" s="336" t="str">
        <f t="shared" ref="AF104:AF106" si="498">IF($W104="", "", IF($P104=SUM($AD104:$AE104),"OK","@@"))</f>
        <v/>
      </c>
      <c r="AG104" s="45"/>
      <c r="AH104" s="336" t="str">
        <f>IF(AK104="","",IF($W104="도비","-",CONCATENATE(AK104,"-",COUNTIF(AK$7:$AK104,AK104))))</f>
        <v/>
      </c>
      <c r="AI104" s="336" t="str">
        <f t="shared" ref="AI104:AI106" si="499">IF($H104="","",IF($H104="511-01","국비",IF($H104="511-02","균특",IF($H104="511-03","기금",IF($H104="311-02","특교",IF($H104="311-04","소교",IF($H104="321-01","소멸","도비")))))))</f>
        <v/>
      </c>
      <c r="AJ104" s="45"/>
      <c r="AK104" s="336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32" t="str">
        <f>IF($AH104="","",IF($AH104="-",0, SUMIFS('5. 기출'!$AB$7:$AB$2012,'5. 기출'!$AJ$7:$AJ$2012,$AH104)))</f>
        <v/>
      </c>
      <c r="AN104" s="339" t="str">
        <f>IF($AH104="","",IF($AH104="-", 0, COUNTIF('5. 기출'!$AJ$7:$AJ$2012,$AH104)))</f>
        <v/>
      </c>
      <c r="AO104" s="336" t="str">
        <f t="shared" ref="AO104:AO106" si="500">IF($AH104="", "", IF($Z104=$AM104,"OK","@@"))</f>
        <v/>
      </c>
      <c r="AP104" s="46"/>
      <c r="AQ104" s="432" t="str">
        <f>IF($AH104="","",IF($AH104="-",0, SUMIFS('5. 기출'!$AF$7:$AF$2012,'5. 기출'!$AJ$7:$AJ$2012,$AH104)))</f>
        <v/>
      </c>
      <c r="AR104" s="339" t="str">
        <f>IF($AH104="","",IF($AH104="-", 0, COUNTIF('5. 기출'!$AJ$7:$AJ$2012,$AH104)))</f>
        <v/>
      </c>
      <c r="AS104" s="336" t="str">
        <f t="shared" ref="AS104:AS106" si="501">IF($AH104="", "", IF($AD104=$AQ104,"OK","@@"))</f>
        <v/>
      </c>
    </row>
    <row r="105" spans="1:45" s="19" customFormat="1" ht="80.099999999999994" customHeight="1">
      <c r="A105" s="126" t="str">
        <f>IF(D105="","",COUNTA($C$7:C105)-COUNTBLANK($C$7:C105)+25)</f>
        <v/>
      </c>
      <c r="B105" s="127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27" t="str">
        <f>IF(D105="","",IF(OR(D105="교육지원과",D105="총무과",D105="인사과"),"직접입력",VLOOKUP(D105,구분표!$A$3:$C$258,3,)))</f>
        <v/>
      </c>
      <c r="D105" s="194"/>
      <c r="E105" s="181"/>
      <c r="F105" s="350" t="str">
        <f t="shared" ref="F105:G106" si="502">IF($E105="","",IF($E105="2추","직접입력","-"))</f>
        <v/>
      </c>
      <c r="G105" s="350" t="str">
        <f t="shared" si="502"/>
        <v/>
      </c>
      <c r="H105" s="182"/>
      <c r="I105" s="203" t="str">
        <f>IF(H105="","",VLOOKUP($H105,구분표!$O$3:$P$168,2,FALSE))</f>
        <v/>
      </c>
      <c r="J105" s="183"/>
      <c r="K105" s="419" t="str">
        <f t="shared" ref="K105:K106" si="503">IF($E105="","",IF(OR($E105="2추",  $E105="1추", $E105="본예산"), "금액입력", "-"))</f>
        <v/>
      </c>
      <c r="L105" s="419" t="str">
        <f t="shared" ref="L105:L106" si="504">IF($E105="", "", IF($E105="2추","금액입력", "-"))</f>
        <v/>
      </c>
      <c r="M105" s="421" t="str">
        <f t="shared" si="488"/>
        <v/>
      </c>
      <c r="N105" s="420"/>
      <c r="O105" s="421">
        <f t="shared" si="489"/>
        <v>0</v>
      </c>
      <c r="P105" s="422"/>
      <c r="Q105" s="423">
        <f t="shared" si="490"/>
        <v>0</v>
      </c>
      <c r="R105" s="133" t="str">
        <f t="shared" si="491"/>
        <v>X</v>
      </c>
      <c r="S105" s="198"/>
      <c r="T105" s="193"/>
      <c r="U105" s="185"/>
      <c r="V105" s="172"/>
      <c r="W105" s="133" t="str">
        <f t="shared" si="492"/>
        <v/>
      </c>
      <c r="X105" s="185"/>
      <c r="Y105" s="44"/>
      <c r="Z105" s="468" t="str">
        <f t="shared" si="493"/>
        <v/>
      </c>
      <c r="AA105" s="468" t="str">
        <f t="shared" si="494"/>
        <v/>
      </c>
      <c r="AB105" s="336" t="str">
        <f t="shared" si="495"/>
        <v/>
      </c>
      <c r="AC105" s="45"/>
      <c r="AD105" s="468" t="str">
        <f t="shared" si="496"/>
        <v/>
      </c>
      <c r="AE105" s="468" t="str">
        <f t="shared" si="497"/>
        <v/>
      </c>
      <c r="AF105" s="336" t="str">
        <f t="shared" si="498"/>
        <v/>
      </c>
      <c r="AG105" s="45"/>
      <c r="AH105" s="336" t="str">
        <f>IF(AK105="","",IF($W105="도비","-",CONCATENATE(AK105,"-",COUNTIF(AK$7:$AK105,AK105))))</f>
        <v/>
      </c>
      <c r="AI105" s="336" t="str">
        <f t="shared" si="499"/>
        <v/>
      </c>
      <c r="AJ105" s="45"/>
      <c r="AK105" s="336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32" t="str">
        <f>IF($AH105="","",IF($AH105="-",0, SUMIFS('5. 기출'!$AB$7:$AB$2012,'5. 기출'!$AJ$7:$AJ$2012,$AH105)))</f>
        <v/>
      </c>
      <c r="AN105" s="339" t="str">
        <f>IF($AH105="","",IF($AH105="-", 0, COUNTIF('5. 기출'!$AJ$7:$AJ$2012,$AH105)))</f>
        <v/>
      </c>
      <c r="AO105" s="336" t="str">
        <f t="shared" si="500"/>
        <v/>
      </c>
      <c r="AP105" s="46"/>
      <c r="AQ105" s="432" t="str">
        <f>IF($AH105="","",IF($AH105="-",0, SUMIFS('5. 기출'!$AF$7:$AF$2012,'5. 기출'!$AJ$7:$AJ$2012,$AH105)))</f>
        <v/>
      </c>
      <c r="AR105" s="339" t="str">
        <f>IF($AH105="","",IF($AH105="-", 0, COUNTIF('5. 기출'!$AJ$7:$AJ$2012,$AH105)))</f>
        <v/>
      </c>
      <c r="AS105" s="336" t="str">
        <f t="shared" si="501"/>
        <v/>
      </c>
    </row>
    <row r="106" spans="1:45" s="19" customFormat="1" ht="80.099999999999994" customHeight="1">
      <c r="A106" s="126" t="str">
        <f>IF(D106="","",COUNTA($C$7:C106)-COUNTBLANK($C$7:C106)+25)</f>
        <v/>
      </c>
      <c r="B106" s="127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27" t="str">
        <f>IF(D106="","",IF(OR(D106="교육지원과",D106="총무과",D106="인사과"),"직접입력",VLOOKUP(D106,구분표!$A$3:$C$258,3,)))</f>
        <v/>
      </c>
      <c r="D106" s="194"/>
      <c r="E106" s="181"/>
      <c r="F106" s="350" t="str">
        <f t="shared" si="502"/>
        <v/>
      </c>
      <c r="G106" s="350" t="str">
        <f t="shared" si="502"/>
        <v/>
      </c>
      <c r="H106" s="182"/>
      <c r="I106" s="203" t="str">
        <f>IF(H106="","",VLOOKUP($H106,구분표!$O$3:$P$168,2,FALSE))</f>
        <v/>
      </c>
      <c r="J106" s="183"/>
      <c r="K106" s="419" t="str">
        <f t="shared" si="503"/>
        <v/>
      </c>
      <c r="L106" s="419" t="str">
        <f t="shared" si="504"/>
        <v/>
      </c>
      <c r="M106" s="421" t="str">
        <f t="shared" si="488"/>
        <v/>
      </c>
      <c r="N106" s="420"/>
      <c r="O106" s="421">
        <f t="shared" si="489"/>
        <v>0</v>
      </c>
      <c r="P106" s="422"/>
      <c r="Q106" s="423">
        <f t="shared" si="490"/>
        <v>0</v>
      </c>
      <c r="R106" s="133" t="str">
        <f t="shared" si="491"/>
        <v>X</v>
      </c>
      <c r="S106" s="198"/>
      <c r="T106" s="193"/>
      <c r="U106" s="185"/>
      <c r="V106" s="172"/>
      <c r="W106" s="133" t="str">
        <f t="shared" si="492"/>
        <v/>
      </c>
      <c r="X106" s="185"/>
      <c r="Y106" s="44"/>
      <c r="Z106" s="468" t="str">
        <f t="shared" si="493"/>
        <v/>
      </c>
      <c r="AA106" s="468" t="str">
        <f t="shared" si="494"/>
        <v/>
      </c>
      <c r="AB106" s="336" t="str">
        <f t="shared" si="495"/>
        <v/>
      </c>
      <c r="AC106" s="45"/>
      <c r="AD106" s="468" t="str">
        <f t="shared" si="496"/>
        <v/>
      </c>
      <c r="AE106" s="468" t="str">
        <f t="shared" si="497"/>
        <v/>
      </c>
      <c r="AF106" s="336" t="str">
        <f t="shared" si="498"/>
        <v/>
      </c>
      <c r="AG106" s="45"/>
      <c r="AH106" s="336" t="str">
        <f>IF(AK106="","",IF($W106="도비","-",CONCATENATE(AK106,"-",COUNTIF(AK$7:$AK106,AK106))))</f>
        <v/>
      </c>
      <c r="AI106" s="336" t="str">
        <f t="shared" si="499"/>
        <v/>
      </c>
      <c r="AJ106" s="45"/>
      <c r="AK106" s="336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32" t="str">
        <f>IF($AH106="","",IF($AH106="-",0, SUMIFS('5. 기출'!$AB$7:$AB$2012,'5. 기출'!$AJ$7:$AJ$2012,$AH106)))</f>
        <v/>
      </c>
      <c r="AN106" s="339" t="str">
        <f>IF($AH106="","",IF($AH106="-", 0, COUNTIF('5. 기출'!$AJ$7:$AJ$2012,$AH106)))</f>
        <v/>
      </c>
      <c r="AO106" s="336" t="str">
        <f t="shared" si="500"/>
        <v/>
      </c>
      <c r="AP106" s="46"/>
      <c r="AQ106" s="432" t="str">
        <f>IF($AH106="","",IF($AH106="-",0, SUMIFS('5. 기출'!$AF$7:$AF$2012,'5. 기출'!$AJ$7:$AJ$2012,$AH106)))</f>
        <v/>
      </c>
      <c r="AR106" s="339" t="str">
        <f>IF($AH106="","",IF($AH106="-", 0, COUNTIF('5. 기출'!$AJ$7:$AJ$2012,$AH106)))</f>
        <v/>
      </c>
      <c r="AS106" s="336" t="str">
        <f t="shared" si="501"/>
        <v/>
      </c>
    </row>
    <row r="107" spans="1:45" ht="60" customHeight="1">
      <c r="A107" s="141"/>
      <c r="B107" s="886" t="s">
        <v>798</v>
      </c>
      <c r="C107" s="886"/>
      <c r="D107" s="886"/>
      <c r="E107" s="886"/>
      <c r="F107" s="886"/>
      <c r="G107" s="886"/>
      <c r="H107" s="78"/>
      <c r="I107" s="78"/>
      <c r="J107" s="313" t="str">
        <f>SUBTOTAL(3,J108:J110)&amp;"건"</f>
        <v>0건</v>
      </c>
      <c r="K107" s="418">
        <f t="shared" ref="K107:Q107" si="505">SUBTOTAL(9,K108:K110)</f>
        <v>0</v>
      </c>
      <c r="L107" s="418">
        <f t="shared" si="505"/>
        <v>0</v>
      </c>
      <c r="M107" s="418">
        <f t="shared" si="505"/>
        <v>0</v>
      </c>
      <c r="N107" s="418">
        <f t="shared" si="505"/>
        <v>0</v>
      </c>
      <c r="O107" s="418">
        <f t="shared" si="505"/>
        <v>0</v>
      </c>
      <c r="P107" s="418">
        <f t="shared" si="505"/>
        <v>0</v>
      </c>
      <c r="Q107" s="418">
        <f t="shared" si="505"/>
        <v>0</v>
      </c>
      <c r="R107" s="77"/>
      <c r="S107" s="77"/>
      <c r="T107" s="77"/>
      <c r="U107" s="77"/>
      <c r="V107" s="77"/>
      <c r="W107" s="79"/>
      <c r="X107" s="79"/>
      <c r="Y107" s="42"/>
      <c r="Z107" s="418">
        <f>SUBTOTAL(9,Z108:Z110)</f>
        <v>0</v>
      </c>
      <c r="AA107" s="418">
        <f>SUBTOTAL(9,AA108:AA110)</f>
        <v>0</v>
      </c>
      <c r="AB107" s="511" t="str">
        <f>IF(COUNTIF(AB108:AB110,"@@")&gt;0,"@@","OK")</f>
        <v>OK</v>
      </c>
      <c r="AC107" s="43"/>
      <c r="AD107" s="418">
        <f>SUBTOTAL(9,AD108:AD110)</f>
        <v>0</v>
      </c>
      <c r="AE107" s="418">
        <f>SUBTOTAL(9,AE108:AE110)</f>
        <v>0</v>
      </c>
      <c r="AF107" s="511" t="str">
        <f>IF(COUNTIF(AF108:AF110,"@@")&gt;0,"@@","OK")</f>
        <v>OK</v>
      </c>
      <c r="AG107" s="43"/>
      <c r="AH107" s="141"/>
      <c r="AI107" s="141"/>
      <c r="AJ107" s="43"/>
      <c r="AK107" s="141"/>
      <c r="AL107" s="43"/>
      <c r="AM107" s="418">
        <f>SUBTOTAL(9,AM108:AM110)</f>
        <v>0</v>
      </c>
      <c r="AN107" s="418">
        <f>SUBTOTAL(9,AN108:AN110)</f>
        <v>0</v>
      </c>
      <c r="AO107" s="511" t="str">
        <f>IF(COUNTIF(AO108:AO110,"@@")&gt;0,"@@","OK")</f>
        <v>OK</v>
      </c>
      <c r="AP107" s="43"/>
      <c r="AQ107" s="418">
        <f t="shared" ref="AQ107" si="506">SUBTOTAL(9,AQ108:AQ110)</f>
        <v>0</v>
      </c>
      <c r="AR107" s="418">
        <f t="shared" ref="AR107" si="507">SUBTOTAL(9,AR108:AR110)</f>
        <v>0</v>
      </c>
      <c r="AS107" s="511" t="str">
        <f>IF(COUNTIF(AS108:AS110,"@@")&gt;0,"@@","OK")</f>
        <v>OK</v>
      </c>
    </row>
    <row r="108" spans="1:45" s="19" customFormat="1" ht="80.099999999999994" customHeight="1">
      <c r="A108" s="126" t="str">
        <f>IF(D108="","",COUNTA($C$7:C108)-COUNTBLANK($C$7:C108)+26)</f>
        <v/>
      </c>
      <c r="B108" s="127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27" t="str">
        <f>IF(D108="","",IF(OR(D108="교육지원과",D108="총무과",D108="인사과"),"직접입력",VLOOKUP(D108,구분표!$A$3:$C$258,3,)))</f>
        <v/>
      </c>
      <c r="D108" s="194"/>
      <c r="E108" s="181"/>
      <c r="F108" s="350" t="str">
        <f>IF($E108="","",IF($E108="2추","직접입력","-"))</f>
        <v/>
      </c>
      <c r="G108" s="350" t="str">
        <f>IF($E108="","",IF($E108="2추","직접입력","-"))</f>
        <v/>
      </c>
      <c r="H108" s="182"/>
      <c r="I108" s="203" t="str">
        <f>IF(H108="","",VLOOKUP($H108,구분표!$O$3:$P$168,2,FALSE))</f>
        <v/>
      </c>
      <c r="J108" s="183"/>
      <c r="K108" s="419" t="str">
        <f>IF($E108="","",IF(OR($E108="2추",  $E108="1추", $E108="본예산"), "금액입력", "-"))</f>
        <v/>
      </c>
      <c r="L108" s="419" t="str">
        <f>IF($E108="", "", IF($E108="2추","금액입력", "-"))</f>
        <v/>
      </c>
      <c r="M108" s="421" t="str">
        <f t="shared" ref="M108:M110" si="508">IF($E108="","",SUM(K108:L108))</f>
        <v/>
      </c>
      <c r="N108" s="420"/>
      <c r="O108" s="421">
        <f t="shared" ref="O108:O110" si="509">SUM(M108:N108)</f>
        <v>0</v>
      </c>
      <c r="P108" s="422"/>
      <c r="Q108" s="423">
        <f t="shared" ref="Q108:Q110" si="510">SUM(M108,P108)</f>
        <v>0</v>
      </c>
      <c r="R108" s="133" t="str">
        <f t="shared" ref="R108:R110" si="511">IF(AND((O108=0),(Q108&gt;0)),"O",IF(AND((N108&lt;0),(O108-Q108&lt;0)),"O","X"))</f>
        <v>X</v>
      </c>
      <c r="S108" s="198"/>
      <c r="T108" s="193"/>
      <c r="U108" s="185"/>
      <c r="V108" s="172"/>
      <c r="W108" s="133" t="str">
        <f t="shared" ref="W108:W110" si="512">IF($H108="","",IF(OR($H108="511-01", $H108="511-02", $H108="511-03", $H108="311-02", $H108="311-04", $H108="321-01"),"국도비","도비"))</f>
        <v/>
      </c>
      <c r="X108" s="185"/>
      <c r="Y108" s="44"/>
      <c r="Z108" s="468" t="str">
        <f t="shared" ref="Z108:Z110" si="513">IF($W108="", "", IF($W108="국도비",$N108, 0))</f>
        <v/>
      </c>
      <c r="AA108" s="468" t="str">
        <f t="shared" ref="AA108:AA110" si="514">IF($W108="", "", IF($W108="도비",$N108, 0))</f>
        <v/>
      </c>
      <c r="AB108" s="336" t="str">
        <f t="shared" ref="AB108:AB110" si="515">IF($W108="", "", IF($N108=SUM($Z108:$AA108),"OK","@@"))</f>
        <v/>
      </c>
      <c r="AC108" s="45"/>
      <c r="AD108" s="468" t="str">
        <f t="shared" ref="AD108:AD110" si="516">IF($W108="", "", IF($W108="국도비",$P108, 0))</f>
        <v/>
      </c>
      <c r="AE108" s="468" t="str">
        <f t="shared" ref="AE108:AE110" si="517">IF($W108="", "", IF($W108="도비",$P108, 0))</f>
        <v/>
      </c>
      <c r="AF108" s="336" t="str">
        <f t="shared" ref="AF108:AF110" si="518">IF($W108="", "", IF($P108=SUM($AD108:$AE108),"OK","@@"))</f>
        <v/>
      </c>
      <c r="AG108" s="45"/>
      <c r="AH108" s="336" t="str">
        <f>IF(AK108="","",IF($W108="도비","-",CONCATENATE(AK108,"-",COUNTIF(AK$7:$AK108,AK108))))</f>
        <v/>
      </c>
      <c r="AI108" s="336" t="str">
        <f t="shared" ref="AI108:AI110" si="519">IF($H108="","",IF($H108="511-01","국비",IF($H108="511-02","균특",IF($H108="511-03","기금",IF($H108="311-02","특교",IF($H108="311-04","소교",IF($H108="321-01","소멸","도비")))))))</f>
        <v/>
      </c>
      <c r="AJ108" s="45"/>
      <c r="AK108" s="336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32" t="str">
        <f>IF($AH108="","",IF($AH108="-",0, SUMIFS('5. 기출'!$AB$7:$AB$2012,'5. 기출'!$AJ$7:$AJ$2012,$AH108)))</f>
        <v/>
      </c>
      <c r="AN108" s="339" t="str">
        <f>IF($AH108="","",IF($AH108="-", 0, COUNTIF('5. 기출'!$AJ$7:$AJ$2012,$AH108)))</f>
        <v/>
      </c>
      <c r="AO108" s="336" t="str">
        <f t="shared" ref="AO108:AO110" si="520">IF($AH108="", "", IF($Z108=$AM108,"OK","@@"))</f>
        <v/>
      </c>
      <c r="AP108" s="46"/>
      <c r="AQ108" s="432" t="str">
        <f>IF($AH108="","",IF($AH108="-",0, SUMIFS('5. 기출'!$AF$7:$AF$2012,'5. 기출'!$AJ$7:$AJ$2012,$AH108)))</f>
        <v/>
      </c>
      <c r="AR108" s="339" t="str">
        <f>IF($AH108="","",IF($AH108="-", 0, COUNTIF('5. 기출'!$AJ$7:$AJ$2012,$AH108)))</f>
        <v/>
      </c>
      <c r="AS108" s="336" t="str">
        <f t="shared" ref="AS108:AS110" si="521">IF($AH108="", "", IF($AD108=$AQ108,"OK","@@"))</f>
        <v/>
      </c>
    </row>
    <row r="109" spans="1:45" s="19" customFormat="1" ht="80.099999999999994" customHeight="1">
      <c r="A109" s="126" t="str">
        <f>IF(D109="","",COUNTA($C$7:C109)-COUNTBLANK($C$7:C109)+26)</f>
        <v/>
      </c>
      <c r="B109" s="127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27" t="str">
        <f>IF(D109="","",IF(OR(D109="교육지원과",D109="총무과",D109="인사과"),"직접입력",VLOOKUP(D109,구분표!$A$3:$C$258,3,)))</f>
        <v/>
      </c>
      <c r="D109" s="194"/>
      <c r="E109" s="181"/>
      <c r="F109" s="350" t="str">
        <f t="shared" ref="F109:G110" si="522">IF($E109="","",IF($E109="2추","직접입력","-"))</f>
        <v/>
      </c>
      <c r="G109" s="350" t="str">
        <f t="shared" si="522"/>
        <v/>
      </c>
      <c r="H109" s="182"/>
      <c r="I109" s="203" t="str">
        <f>IF(H109="","",VLOOKUP($H109,구분표!$O$3:$P$168,2,FALSE))</f>
        <v/>
      </c>
      <c r="J109" s="183"/>
      <c r="K109" s="419" t="str">
        <f t="shared" ref="K109:K110" si="523">IF($E109="","",IF(OR($E109="2추",  $E109="1추", $E109="본예산"), "금액입력", "-"))</f>
        <v/>
      </c>
      <c r="L109" s="419" t="str">
        <f t="shared" ref="L109:L110" si="524">IF($E109="", "", IF($E109="2추","금액입력", "-"))</f>
        <v/>
      </c>
      <c r="M109" s="421" t="str">
        <f t="shared" si="508"/>
        <v/>
      </c>
      <c r="N109" s="420"/>
      <c r="O109" s="421">
        <f t="shared" si="509"/>
        <v>0</v>
      </c>
      <c r="P109" s="422"/>
      <c r="Q109" s="423">
        <f t="shared" si="510"/>
        <v>0</v>
      </c>
      <c r="R109" s="133" t="str">
        <f t="shared" si="511"/>
        <v>X</v>
      </c>
      <c r="S109" s="198"/>
      <c r="T109" s="193"/>
      <c r="U109" s="185"/>
      <c r="V109" s="172"/>
      <c r="W109" s="133" t="str">
        <f t="shared" si="512"/>
        <v/>
      </c>
      <c r="X109" s="185"/>
      <c r="Y109" s="44"/>
      <c r="Z109" s="468" t="str">
        <f t="shared" si="513"/>
        <v/>
      </c>
      <c r="AA109" s="468" t="str">
        <f t="shared" si="514"/>
        <v/>
      </c>
      <c r="AB109" s="336" t="str">
        <f t="shared" si="515"/>
        <v/>
      </c>
      <c r="AC109" s="45"/>
      <c r="AD109" s="468" t="str">
        <f t="shared" si="516"/>
        <v/>
      </c>
      <c r="AE109" s="468" t="str">
        <f t="shared" si="517"/>
        <v/>
      </c>
      <c r="AF109" s="336" t="str">
        <f t="shared" si="518"/>
        <v/>
      </c>
      <c r="AG109" s="45"/>
      <c r="AH109" s="336" t="str">
        <f>IF(AK109="","",IF($W109="도비","-",CONCATENATE(AK109,"-",COUNTIF(AK$7:$AK109,AK109))))</f>
        <v/>
      </c>
      <c r="AI109" s="336" t="str">
        <f t="shared" si="519"/>
        <v/>
      </c>
      <c r="AJ109" s="45"/>
      <c r="AK109" s="336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32" t="str">
        <f>IF($AH109="","",IF($AH109="-",0, SUMIFS('5. 기출'!$AB$7:$AB$2012,'5. 기출'!$AJ$7:$AJ$2012,$AH109)))</f>
        <v/>
      </c>
      <c r="AN109" s="339" t="str">
        <f>IF($AH109="","",IF($AH109="-", 0, COUNTIF('5. 기출'!$AJ$7:$AJ$2012,$AH109)))</f>
        <v/>
      </c>
      <c r="AO109" s="336" t="str">
        <f t="shared" si="520"/>
        <v/>
      </c>
      <c r="AP109" s="46"/>
      <c r="AQ109" s="432" t="str">
        <f>IF($AH109="","",IF($AH109="-",0, SUMIFS('5. 기출'!$AF$7:$AF$2012,'5. 기출'!$AJ$7:$AJ$2012,$AH109)))</f>
        <v/>
      </c>
      <c r="AR109" s="339" t="str">
        <f>IF($AH109="","",IF($AH109="-", 0, COUNTIF('5. 기출'!$AJ$7:$AJ$2012,$AH109)))</f>
        <v/>
      </c>
      <c r="AS109" s="336" t="str">
        <f t="shared" si="521"/>
        <v/>
      </c>
    </row>
    <row r="110" spans="1:45" s="19" customFormat="1" ht="80.099999999999994" customHeight="1">
      <c r="A110" s="126" t="str">
        <f>IF(D110="","",COUNTA($C$7:C110)-COUNTBLANK($C$7:C110)+26)</f>
        <v/>
      </c>
      <c r="B110" s="127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27" t="str">
        <f>IF(D110="","",IF(OR(D110="교육지원과",D110="총무과",D110="인사과"),"직접입력",VLOOKUP(D110,구분표!$A$3:$C$258,3,)))</f>
        <v/>
      </c>
      <c r="D110" s="194"/>
      <c r="E110" s="181"/>
      <c r="F110" s="350" t="str">
        <f t="shared" si="522"/>
        <v/>
      </c>
      <c r="G110" s="350" t="str">
        <f t="shared" si="522"/>
        <v/>
      </c>
      <c r="H110" s="182"/>
      <c r="I110" s="203" t="str">
        <f>IF(H110="","",VLOOKUP($H110,구분표!$O$3:$P$168,2,FALSE))</f>
        <v/>
      </c>
      <c r="J110" s="183"/>
      <c r="K110" s="419" t="str">
        <f t="shared" si="523"/>
        <v/>
      </c>
      <c r="L110" s="419" t="str">
        <f t="shared" si="524"/>
        <v/>
      </c>
      <c r="M110" s="421" t="str">
        <f t="shared" si="508"/>
        <v/>
      </c>
      <c r="N110" s="420"/>
      <c r="O110" s="421">
        <f t="shared" si="509"/>
        <v>0</v>
      </c>
      <c r="P110" s="422"/>
      <c r="Q110" s="423">
        <f t="shared" si="510"/>
        <v>0</v>
      </c>
      <c r="R110" s="133" t="str">
        <f t="shared" si="511"/>
        <v>X</v>
      </c>
      <c r="S110" s="198"/>
      <c r="T110" s="193"/>
      <c r="U110" s="185"/>
      <c r="V110" s="172"/>
      <c r="W110" s="133" t="str">
        <f t="shared" si="512"/>
        <v/>
      </c>
      <c r="X110" s="185"/>
      <c r="Y110" s="44"/>
      <c r="Z110" s="468" t="str">
        <f t="shared" si="513"/>
        <v/>
      </c>
      <c r="AA110" s="468" t="str">
        <f t="shared" si="514"/>
        <v/>
      </c>
      <c r="AB110" s="336" t="str">
        <f t="shared" si="515"/>
        <v/>
      </c>
      <c r="AC110" s="45"/>
      <c r="AD110" s="468" t="str">
        <f t="shared" si="516"/>
        <v/>
      </c>
      <c r="AE110" s="468" t="str">
        <f t="shared" si="517"/>
        <v/>
      </c>
      <c r="AF110" s="336" t="str">
        <f t="shared" si="518"/>
        <v/>
      </c>
      <c r="AG110" s="45"/>
      <c r="AH110" s="336" t="str">
        <f>IF(AK110="","",IF($W110="도비","-",CONCATENATE(AK110,"-",COUNTIF(AK$7:$AK110,AK110))))</f>
        <v/>
      </c>
      <c r="AI110" s="336" t="str">
        <f t="shared" si="519"/>
        <v/>
      </c>
      <c r="AJ110" s="45"/>
      <c r="AK110" s="336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32" t="str">
        <f>IF($AH110="","",IF($AH110="-",0, SUMIFS('5. 기출'!$AB$7:$AB$2012,'5. 기출'!$AJ$7:$AJ$2012,$AH110)))</f>
        <v/>
      </c>
      <c r="AN110" s="339" t="str">
        <f>IF($AH110="","",IF($AH110="-", 0, COUNTIF('5. 기출'!$AJ$7:$AJ$2012,$AH110)))</f>
        <v/>
      </c>
      <c r="AO110" s="336" t="str">
        <f t="shared" si="520"/>
        <v/>
      </c>
      <c r="AP110" s="46"/>
      <c r="AQ110" s="432" t="str">
        <f>IF($AH110="","",IF($AH110="-",0, SUMIFS('5. 기출'!$AF$7:$AF$2012,'5. 기출'!$AJ$7:$AJ$2012,$AH110)))</f>
        <v/>
      </c>
      <c r="AR110" s="339" t="str">
        <f>IF($AH110="","",IF($AH110="-", 0, COUNTIF('5. 기출'!$AJ$7:$AJ$2012,$AH110)))</f>
        <v/>
      </c>
      <c r="AS110" s="336" t="str">
        <f t="shared" si="521"/>
        <v/>
      </c>
    </row>
    <row r="111" spans="1:45" ht="60" customHeight="1">
      <c r="A111" s="141"/>
      <c r="B111" s="886" t="s">
        <v>1134</v>
      </c>
      <c r="C111" s="886"/>
      <c r="D111" s="886"/>
      <c r="E111" s="886"/>
      <c r="F111" s="886"/>
      <c r="G111" s="886"/>
      <c r="H111" s="78"/>
      <c r="I111" s="78"/>
      <c r="J111" s="313" t="str">
        <f>SUBTOTAL(3,J112:J114)&amp;"건"</f>
        <v>0건</v>
      </c>
      <c r="K111" s="418">
        <f t="shared" ref="K111:Q111" si="525">SUBTOTAL(9,K112:K114)</f>
        <v>0</v>
      </c>
      <c r="L111" s="418">
        <f t="shared" si="525"/>
        <v>0</v>
      </c>
      <c r="M111" s="418">
        <f t="shared" si="525"/>
        <v>0</v>
      </c>
      <c r="N111" s="418">
        <f t="shared" si="525"/>
        <v>0</v>
      </c>
      <c r="O111" s="418">
        <f t="shared" si="525"/>
        <v>0</v>
      </c>
      <c r="P111" s="418">
        <f t="shared" si="525"/>
        <v>0</v>
      </c>
      <c r="Q111" s="418">
        <f t="shared" si="525"/>
        <v>0</v>
      </c>
      <c r="R111" s="77"/>
      <c r="S111" s="77"/>
      <c r="T111" s="77"/>
      <c r="U111" s="77"/>
      <c r="V111" s="77"/>
      <c r="W111" s="79"/>
      <c r="X111" s="79"/>
      <c r="Y111" s="42"/>
      <c r="Z111" s="418">
        <f>SUBTOTAL(9,Z112:Z114)</f>
        <v>0</v>
      </c>
      <c r="AA111" s="418">
        <f>SUBTOTAL(9,AA112:AA114)</f>
        <v>0</v>
      </c>
      <c r="AB111" s="511" t="str">
        <f>IF(COUNTIF(AB112:AB114,"@@")&gt;0,"@@","OK")</f>
        <v>OK</v>
      </c>
      <c r="AC111" s="43"/>
      <c r="AD111" s="418">
        <f>SUBTOTAL(9,AD112:AD114)</f>
        <v>0</v>
      </c>
      <c r="AE111" s="418">
        <f>SUBTOTAL(9,AE112:AE114)</f>
        <v>0</v>
      </c>
      <c r="AF111" s="511" t="str">
        <f>IF(COUNTIF(AF112:AF114,"@@")&gt;0,"@@","OK")</f>
        <v>OK</v>
      </c>
      <c r="AG111" s="43"/>
      <c r="AH111" s="141"/>
      <c r="AI111" s="141"/>
      <c r="AJ111" s="43"/>
      <c r="AK111" s="141"/>
      <c r="AL111" s="43"/>
      <c r="AM111" s="418">
        <f>SUBTOTAL(9,AM112:AM114)</f>
        <v>0</v>
      </c>
      <c r="AN111" s="418">
        <f>SUBTOTAL(9,AN112:AN114)</f>
        <v>0</v>
      </c>
      <c r="AO111" s="511" t="str">
        <f>IF(COUNTIF(AO112:AO114,"@@")&gt;0,"@@","OK")</f>
        <v>OK</v>
      </c>
      <c r="AP111" s="43"/>
      <c r="AQ111" s="418">
        <f t="shared" ref="AQ111:AR111" si="526">SUBTOTAL(9,AQ112:AQ114)</f>
        <v>0</v>
      </c>
      <c r="AR111" s="418">
        <f t="shared" si="526"/>
        <v>0</v>
      </c>
      <c r="AS111" s="511" t="str">
        <f>IF(COUNTIF(AS112:AS114,"@@")&gt;0,"@@","OK")</f>
        <v>OK</v>
      </c>
    </row>
    <row r="112" spans="1:45" s="19" customFormat="1" ht="80.099999999999994" customHeight="1">
      <c r="A112" s="126" t="str">
        <f>IF(D112="","",COUNTA($C$7:C112)-COUNTBLANK($C$7:C112)+27)</f>
        <v/>
      </c>
      <c r="B112" s="127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27" t="str">
        <f>IF(D112="","",IF(OR(D112="교육지원과",D112="총무과",D112="인사과"),"직접입력",VLOOKUP(D112,구분표!$A$3:$C$258,3,)))</f>
        <v/>
      </c>
      <c r="D112" s="194"/>
      <c r="E112" s="181"/>
      <c r="F112" s="350" t="str">
        <f>IF($E112="","",IF($E112="2추","직접입력","-"))</f>
        <v/>
      </c>
      <c r="G112" s="350" t="str">
        <f>IF($E112="","",IF($E112="2추","직접입력","-"))</f>
        <v/>
      </c>
      <c r="H112" s="182"/>
      <c r="I112" s="203" t="str">
        <f>IF(H112="","",VLOOKUP($H112,구분표!$O$3:$P$168,2,FALSE))</f>
        <v/>
      </c>
      <c r="J112" s="183"/>
      <c r="K112" s="419" t="str">
        <f>IF($E112="","",IF(OR($E112="2추",  $E112="1추", $E112="본예산"), "금액입력", "-"))</f>
        <v/>
      </c>
      <c r="L112" s="419" t="str">
        <f>IF($E112="", "", IF($E112="2추","금액입력", "-"))</f>
        <v/>
      </c>
      <c r="M112" s="421" t="str">
        <f t="shared" ref="M112:M114" si="527">IF($E112="","",SUM(K112:L112))</f>
        <v/>
      </c>
      <c r="N112" s="420"/>
      <c r="O112" s="421">
        <f t="shared" ref="O112:O114" si="528">SUM(M112:N112)</f>
        <v>0</v>
      </c>
      <c r="P112" s="422"/>
      <c r="Q112" s="423">
        <f t="shared" ref="Q112:Q114" si="529">SUM(M112,P112)</f>
        <v>0</v>
      </c>
      <c r="R112" s="133" t="str">
        <f t="shared" ref="R112:R114" si="530">IF(AND((O112=0),(Q112&gt;0)),"O",IF(AND((N112&lt;0),(O112-Q112&lt;0)),"O","X"))</f>
        <v>X</v>
      </c>
      <c r="S112" s="198"/>
      <c r="T112" s="193"/>
      <c r="U112" s="185"/>
      <c r="V112" s="172"/>
      <c r="W112" s="133" t="str">
        <f t="shared" ref="W112:W114" si="531">IF($H112="","",IF(OR($H112="511-01", $H112="511-02", $H112="511-03", $H112="311-02", $H112="311-04", $H112="321-01"),"국도비","도비"))</f>
        <v/>
      </c>
      <c r="X112" s="185"/>
      <c r="Y112" s="44"/>
      <c r="Z112" s="468" t="str">
        <f t="shared" ref="Z112:Z114" si="532">IF($W112="", "", IF($W112="국도비",$N112, 0))</f>
        <v/>
      </c>
      <c r="AA112" s="468" t="str">
        <f t="shared" ref="AA112:AA114" si="533">IF($W112="", "", IF($W112="도비",$N112, 0))</f>
        <v/>
      </c>
      <c r="AB112" s="336" t="str">
        <f t="shared" ref="AB112:AB114" si="534">IF($W112="", "", IF($N112=SUM($Z112:$AA112),"OK","@@"))</f>
        <v/>
      </c>
      <c r="AC112" s="45"/>
      <c r="AD112" s="468" t="str">
        <f t="shared" ref="AD112:AD114" si="535">IF($W112="", "", IF($W112="국도비",$P112, 0))</f>
        <v/>
      </c>
      <c r="AE112" s="468" t="str">
        <f t="shared" ref="AE112:AE114" si="536">IF($W112="", "", IF($W112="도비",$P112, 0))</f>
        <v/>
      </c>
      <c r="AF112" s="336" t="str">
        <f t="shared" ref="AF112:AF114" si="537">IF($W112="", "", IF($P112=SUM($AD112:$AE112),"OK","@@"))</f>
        <v/>
      </c>
      <c r="AG112" s="45"/>
      <c r="AH112" s="336" t="str">
        <f>IF(AK112="","",IF($W112="도비","-",CONCATENATE(AK112,"-",COUNTIF(AK$7:$AK112,AK112))))</f>
        <v/>
      </c>
      <c r="AI112" s="336" t="str">
        <f t="shared" ref="AI112:AI114" si="538">IF($H112="","",IF($H112="511-01","국비",IF($H112="511-02","균특",IF($H112="511-03","기금",IF($H112="311-02","특교",IF($H112="311-04","소교",IF($H112="321-01","소멸","도비")))))))</f>
        <v/>
      </c>
      <c r="AJ112" s="45"/>
      <c r="AK112" s="336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32" t="str">
        <f>IF($AH112="","",IF($AH112="-",0, SUMIFS('5. 기출'!$AB$7:$AB$2012,'5. 기출'!$AJ$7:$AJ$2012,$AH112)))</f>
        <v/>
      </c>
      <c r="AN112" s="339" t="str">
        <f>IF($AH112="","",IF($AH112="-", 0, COUNTIF('5. 기출'!$AJ$7:$AJ$2012,$AH112)))</f>
        <v/>
      </c>
      <c r="AO112" s="336" t="str">
        <f t="shared" ref="AO112:AO114" si="539">IF($AH112="", "", IF($Z112=$AM112,"OK","@@"))</f>
        <v/>
      </c>
      <c r="AP112" s="46"/>
      <c r="AQ112" s="432" t="str">
        <f>IF($AH112="","",IF($AH112="-",0, SUMIFS('5. 기출'!$AF$7:$AF$2012,'5. 기출'!$AJ$7:$AJ$2012,$AH112)))</f>
        <v/>
      </c>
      <c r="AR112" s="339" t="str">
        <f>IF($AH112="","",IF($AH112="-", 0, COUNTIF('5. 기출'!$AJ$7:$AJ$2012,$AH112)))</f>
        <v/>
      </c>
      <c r="AS112" s="336" t="str">
        <f t="shared" ref="AS112:AS114" si="540">IF($AH112="", "", IF($AD112=$AQ112,"OK","@@"))</f>
        <v/>
      </c>
    </row>
    <row r="113" spans="1:45" s="19" customFormat="1" ht="80.099999999999994" customHeight="1">
      <c r="A113" s="126" t="str">
        <f>IF(D113="","",COUNTA($C$7:C113)-COUNTBLANK($C$7:C113)+27)</f>
        <v/>
      </c>
      <c r="B113" s="127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27" t="str">
        <f>IF(D113="","",IF(OR(D113="교육지원과",D113="총무과",D113="인사과"),"직접입력",VLOOKUP(D113,구분표!$A$3:$C$258,3,)))</f>
        <v/>
      </c>
      <c r="D113" s="194"/>
      <c r="E113" s="181"/>
      <c r="F113" s="350" t="str">
        <f t="shared" ref="F113:G114" si="541">IF($E113="","",IF($E113="2추","직접입력","-"))</f>
        <v/>
      </c>
      <c r="G113" s="350" t="str">
        <f t="shared" si="541"/>
        <v/>
      </c>
      <c r="H113" s="182"/>
      <c r="I113" s="203" t="str">
        <f>IF(H113="","",VLOOKUP($H113,구분표!$O$3:$P$168,2,FALSE))</f>
        <v/>
      </c>
      <c r="J113" s="183"/>
      <c r="K113" s="419" t="str">
        <f t="shared" ref="K113:K114" si="542">IF($E113="","",IF(OR($E113="2추",  $E113="1추", $E113="본예산"), "금액입력", "-"))</f>
        <v/>
      </c>
      <c r="L113" s="419" t="str">
        <f t="shared" ref="L113:L114" si="543">IF($E113="", "", IF($E113="2추","금액입력", "-"))</f>
        <v/>
      </c>
      <c r="M113" s="421" t="str">
        <f t="shared" si="527"/>
        <v/>
      </c>
      <c r="N113" s="420"/>
      <c r="O113" s="421">
        <f t="shared" si="528"/>
        <v>0</v>
      </c>
      <c r="P113" s="422"/>
      <c r="Q113" s="423">
        <f t="shared" si="529"/>
        <v>0</v>
      </c>
      <c r="R113" s="133" t="str">
        <f t="shared" si="530"/>
        <v>X</v>
      </c>
      <c r="S113" s="198"/>
      <c r="T113" s="193"/>
      <c r="U113" s="185"/>
      <c r="V113" s="172"/>
      <c r="W113" s="133" t="str">
        <f t="shared" si="531"/>
        <v/>
      </c>
      <c r="X113" s="185"/>
      <c r="Y113" s="44"/>
      <c r="Z113" s="468" t="str">
        <f t="shared" si="532"/>
        <v/>
      </c>
      <c r="AA113" s="468" t="str">
        <f t="shared" si="533"/>
        <v/>
      </c>
      <c r="AB113" s="336" t="str">
        <f t="shared" si="534"/>
        <v/>
      </c>
      <c r="AC113" s="45"/>
      <c r="AD113" s="468" t="str">
        <f t="shared" si="535"/>
        <v/>
      </c>
      <c r="AE113" s="468" t="str">
        <f t="shared" si="536"/>
        <v/>
      </c>
      <c r="AF113" s="336" t="str">
        <f t="shared" si="537"/>
        <v/>
      </c>
      <c r="AG113" s="45"/>
      <c r="AH113" s="336" t="str">
        <f>IF(AK113="","",IF($W113="도비","-",CONCATENATE(AK113,"-",COUNTIF(AK$7:$AK113,AK113))))</f>
        <v/>
      </c>
      <c r="AI113" s="336" t="str">
        <f t="shared" si="538"/>
        <v/>
      </c>
      <c r="AJ113" s="45"/>
      <c r="AK113" s="336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32" t="str">
        <f>IF($AH113="","",IF($AH113="-",0, SUMIFS('5. 기출'!$AB$7:$AB$2012,'5. 기출'!$AJ$7:$AJ$2012,$AH113)))</f>
        <v/>
      </c>
      <c r="AN113" s="339" t="str">
        <f>IF($AH113="","",IF($AH113="-", 0, COUNTIF('5. 기출'!$AJ$7:$AJ$2012,$AH113)))</f>
        <v/>
      </c>
      <c r="AO113" s="336" t="str">
        <f t="shared" si="539"/>
        <v/>
      </c>
      <c r="AP113" s="46"/>
      <c r="AQ113" s="432" t="str">
        <f>IF($AH113="","",IF($AH113="-",0, SUMIFS('5. 기출'!$AF$7:$AF$2012,'5. 기출'!$AJ$7:$AJ$2012,$AH113)))</f>
        <v/>
      </c>
      <c r="AR113" s="339" t="str">
        <f>IF($AH113="","",IF($AH113="-", 0, COUNTIF('5. 기출'!$AJ$7:$AJ$2012,$AH113)))</f>
        <v/>
      </c>
      <c r="AS113" s="336" t="str">
        <f t="shared" si="540"/>
        <v/>
      </c>
    </row>
    <row r="114" spans="1:45" s="19" customFormat="1" ht="80.099999999999994" customHeight="1">
      <c r="A114" s="126" t="str">
        <f>IF(D114="","",COUNTA($C$7:C114)-COUNTBLANK($C$7:C114)+27)</f>
        <v/>
      </c>
      <c r="B114" s="127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27" t="str">
        <f>IF(D114="","",IF(OR(D114="교육지원과",D114="총무과",D114="인사과"),"직접입력",VLOOKUP(D114,구분표!$A$3:$C$258,3,)))</f>
        <v/>
      </c>
      <c r="D114" s="194"/>
      <c r="E114" s="181"/>
      <c r="F114" s="350" t="str">
        <f t="shared" si="541"/>
        <v/>
      </c>
      <c r="G114" s="350" t="str">
        <f t="shared" si="541"/>
        <v/>
      </c>
      <c r="H114" s="182"/>
      <c r="I114" s="203" t="str">
        <f>IF(H114="","",VLOOKUP($H114,구분표!$O$3:$P$168,2,FALSE))</f>
        <v/>
      </c>
      <c r="J114" s="183"/>
      <c r="K114" s="419" t="str">
        <f t="shared" si="542"/>
        <v/>
      </c>
      <c r="L114" s="419" t="str">
        <f t="shared" si="543"/>
        <v/>
      </c>
      <c r="M114" s="421" t="str">
        <f t="shared" si="527"/>
        <v/>
      </c>
      <c r="N114" s="420"/>
      <c r="O114" s="421">
        <f t="shared" si="528"/>
        <v>0</v>
      </c>
      <c r="P114" s="422"/>
      <c r="Q114" s="423">
        <f t="shared" si="529"/>
        <v>0</v>
      </c>
      <c r="R114" s="133" t="str">
        <f t="shared" si="530"/>
        <v>X</v>
      </c>
      <c r="S114" s="198"/>
      <c r="T114" s="193"/>
      <c r="U114" s="185"/>
      <c r="V114" s="172"/>
      <c r="W114" s="133" t="str">
        <f t="shared" si="531"/>
        <v/>
      </c>
      <c r="X114" s="185"/>
      <c r="Y114" s="44"/>
      <c r="Z114" s="468" t="str">
        <f t="shared" si="532"/>
        <v/>
      </c>
      <c r="AA114" s="468" t="str">
        <f t="shared" si="533"/>
        <v/>
      </c>
      <c r="AB114" s="336" t="str">
        <f t="shared" si="534"/>
        <v/>
      </c>
      <c r="AC114" s="45"/>
      <c r="AD114" s="468" t="str">
        <f t="shared" si="535"/>
        <v/>
      </c>
      <c r="AE114" s="468" t="str">
        <f t="shared" si="536"/>
        <v/>
      </c>
      <c r="AF114" s="336" t="str">
        <f t="shared" si="537"/>
        <v/>
      </c>
      <c r="AG114" s="45"/>
      <c r="AH114" s="336" t="str">
        <f>IF(AK114="","",IF($W114="도비","-",CONCATENATE(AK114,"-",COUNTIF(AK$7:$AK114,AK114))))</f>
        <v/>
      </c>
      <c r="AI114" s="336" t="str">
        <f t="shared" si="538"/>
        <v/>
      </c>
      <c r="AJ114" s="45"/>
      <c r="AK114" s="336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32" t="str">
        <f>IF($AH114="","",IF($AH114="-",0, SUMIFS('5. 기출'!$AB$7:$AB$2012,'5. 기출'!$AJ$7:$AJ$2012,$AH114)))</f>
        <v/>
      </c>
      <c r="AN114" s="339" t="str">
        <f>IF($AH114="","",IF($AH114="-", 0, COUNTIF('5. 기출'!$AJ$7:$AJ$2012,$AH114)))</f>
        <v/>
      </c>
      <c r="AO114" s="336" t="str">
        <f t="shared" si="539"/>
        <v/>
      </c>
      <c r="AP114" s="46"/>
      <c r="AQ114" s="432" t="str">
        <f>IF($AH114="","",IF($AH114="-",0, SUMIFS('5. 기출'!$AF$7:$AF$2012,'5. 기출'!$AJ$7:$AJ$2012,$AH114)))</f>
        <v/>
      </c>
      <c r="AR114" s="339" t="str">
        <f>IF($AH114="","",IF($AH114="-", 0, COUNTIF('5. 기출'!$AJ$7:$AJ$2012,$AH114)))</f>
        <v/>
      </c>
      <c r="AS114" s="336" t="str">
        <f t="shared" si="540"/>
        <v/>
      </c>
    </row>
    <row r="115" spans="1:45" ht="60.75" customHeight="1">
      <c r="A115" s="141"/>
      <c r="B115" s="886" t="s">
        <v>1107</v>
      </c>
      <c r="C115" s="886"/>
      <c r="D115" s="886"/>
      <c r="E115" s="886"/>
      <c r="F115" s="886"/>
      <c r="G115" s="886"/>
      <c r="H115" s="78"/>
      <c r="I115" s="78"/>
      <c r="J115" s="313" t="str">
        <f>SUBTOTAL(3,J116:J118)&amp;"건"</f>
        <v>0건</v>
      </c>
      <c r="K115" s="418">
        <f t="shared" ref="K115:Q115" si="544">SUBTOTAL(9,K116:K118)</f>
        <v>0</v>
      </c>
      <c r="L115" s="418">
        <f t="shared" si="544"/>
        <v>0</v>
      </c>
      <c r="M115" s="418">
        <f t="shared" si="544"/>
        <v>0</v>
      </c>
      <c r="N115" s="418">
        <f t="shared" si="544"/>
        <v>0</v>
      </c>
      <c r="O115" s="418">
        <f t="shared" si="544"/>
        <v>0</v>
      </c>
      <c r="P115" s="418">
        <f t="shared" si="544"/>
        <v>0</v>
      </c>
      <c r="Q115" s="418">
        <f t="shared" si="544"/>
        <v>0</v>
      </c>
      <c r="R115" s="77"/>
      <c r="S115" s="77"/>
      <c r="T115" s="77"/>
      <c r="U115" s="77"/>
      <c r="V115" s="77"/>
      <c r="W115" s="79"/>
      <c r="X115" s="79"/>
      <c r="Y115" s="42"/>
      <c r="Z115" s="418">
        <f>SUBTOTAL(9,Z116:Z118)</f>
        <v>0</v>
      </c>
      <c r="AA115" s="418">
        <f>SUBTOTAL(9,AA116:AA118)</f>
        <v>0</v>
      </c>
      <c r="AB115" s="511" t="str">
        <f>IF(COUNTIF(AB116:AB118,"@@")&gt;0,"@@","OK")</f>
        <v>OK</v>
      </c>
      <c r="AC115" s="43"/>
      <c r="AD115" s="418">
        <f>SUBTOTAL(9,AD116:AD118)</f>
        <v>0</v>
      </c>
      <c r="AE115" s="418">
        <f>SUBTOTAL(9,AE116:AE118)</f>
        <v>0</v>
      </c>
      <c r="AF115" s="511" t="str">
        <f>IF(COUNTIF(AF116:AF118,"@@")&gt;0,"@@","OK")</f>
        <v>OK</v>
      </c>
      <c r="AG115" s="43"/>
      <c r="AH115" s="141"/>
      <c r="AI115" s="141"/>
      <c r="AJ115" s="43"/>
      <c r="AK115" s="141"/>
      <c r="AL115" s="43"/>
      <c r="AM115" s="418">
        <f>SUBTOTAL(9,AM116:AM118)</f>
        <v>0</v>
      </c>
      <c r="AN115" s="418">
        <f>SUBTOTAL(9,AN116:AN118)</f>
        <v>0</v>
      </c>
      <c r="AO115" s="511" t="str">
        <f>IF(COUNTIF(AO116:AO118,"@@")&gt;0,"@@","OK")</f>
        <v>OK</v>
      </c>
      <c r="AP115" s="43"/>
      <c r="AQ115" s="418">
        <f t="shared" ref="AQ115:AR115" si="545">SUBTOTAL(9,AQ116:AQ118)</f>
        <v>0</v>
      </c>
      <c r="AR115" s="418">
        <f t="shared" si="545"/>
        <v>0</v>
      </c>
      <c r="AS115" s="511" t="str">
        <f>IF(COUNTIF(AS116:AS118,"@@")&gt;0,"@@","OK")</f>
        <v>OK</v>
      </c>
    </row>
    <row r="116" spans="1:45" ht="79.5" customHeight="1">
      <c r="A116" s="126" t="str">
        <f>IF(D116="","",COUNTA($C$7:C116)-COUNTBLANK($C$7:C116)+28)</f>
        <v/>
      </c>
      <c r="B116" s="127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27" t="str">
        <f>IF(D116="","",IF(OR(D116="교육지원과",D116="총무과",D116="인사과"),"직접입력",VLOOKUP(D116,구분표!$A$3:$C$258,3,)))</f>
        <v/>
      </c>
      <c r="D116" s="194"/>
      <c r="E116" s="181"/>
      <c r="F116" s="350" t="str">
        <f>IF($E116="","",IF($E116="2추","직접입력","-"))</f>
        <v/>
      </c>
      <c r="G116" s="350" t="str">
        <f>IF($E116="","",IF($E116="2추","직접입력","-"))</f>
        <v/>
      </c>
      <c r="H116" s="182"/>
      <c r="I116" s="203" t="str">
        <f>IF(H116="","",VLOOKUP($H116,구분표!$O$3:$P$168,2,FALSE))</f>
        <v/>
      </c>
      <c r="J116" s="183"/>
      <c r="K116" s="419" t="str">
        <f>IF($E116="","",IF(OR($E116="2추",  $E116="1추", $E116="본예산"), "금액입력", "-"))</f>
        <v/>
      </c>
      <c r="L116" s="419" t="str">
        <f>IF($E116="", "", IF($E116="2추","금액입력", "-"))</f>
        <v/>
      </c>
      <c r="M116" s="421" t="str">
        <f t="shared" ref="M116:M118" si="546">IF($E116="","",SUM(K116:L116))</f>
        <v/>
      </c>
      <c r="N116" s="420"/>
      <c r="O116" s="421">
        <f t="shared" ref="O116:O118" si="547">SUM(M116:N116)</f>
        <v>0</v>
      </c>
      <c r="P116" s="422"/>
      <c r="Q116" s="423">
        <f t="shared" ref="Q116:Q118" si="548">SUM(M116,P116)</f>
        <v>0</v>
      </c>
      <c r="R116" s="133" t="str">
        <f t="shared" ref="R116:R118" si="549">IF(AND((O116=0),(Q116&gt;0)),"O",IF(AND((N116&lt;0),(O116-Q116&lt;0)),"O","X"))</f>
        <v>X</v>
      </c>
      <c r="S116" s="198"/>
      <c r="T116" s="193"/>
      <c r="U116" s="185"/>
      <c r="V116" s="172"/>
      <c r="W116" s="133" t="str">
        <f t="shared" ref="W116:W118" si="550">IF($H116="","",IF(OR($H116="511-01", $H116="511-02", $H116="511-03", $H116="311-02", $H116="311-04", $H116="321-01"),"국도비","도비"))</f>
        <v/>
      </c>
      <c r="X116" s="185"/>
      <c r="Y116" s="44"/>
      <c r="Z116" s="468" t="str">
        <f t="shared" ref="Z116:Z118" si="551">IF($W116="", "", IF($W116="국도비",$N116, 0))</f>
        <v/>
      </c>
      <c r="AA116" s="468" t="str">
        <f t="shared" ref="AA116:AA118" si="552">IF($W116="", "", IF($W116="도비",$N116, 0))</f>
        <v/>
      </c>
      <c r="AB116" s="336" t="str">
        <f t="shared" ref="AB116:AB118" si="553">IF($W116="", "", IF($N116=SUM($Z116:$AA116),"OK","@@"))</f>
        <v/>
      </c>
      <c r="AC116" s="45"/>
      <c r="AD116" s="468" t="str">
        <f t="shared" ref="AD116:AD118" si="554">IF($W116="", "", IF($W116="국도비",$P116, 0))</f>
        <v/>
      </c>
      <c r="AE116" s="468" t="str">
        <f t="shared" ref="AE116:AE118" si="555">IF($W116="", "", IF($W116="도비",$P116, 0))</f>
        <v/>
      </c>
      <c r="AF116" s="336" t="str">
        <f t="shared" ref="AF116:AF118" si="556">IF($W116="", "", IF($P116=SUM($AD116:$AE116),"OK","@@"))</f>
        <v/>
      </c>
      <c r="AG116" s="45"/>
      <c r="AH116" s="336" t="str">
        <f>IF(AK116="","",IF($W116="도비","-",CONCATENATE(AK116,"-",COUNTIF(AK$7:$AK116,AK116))))</f>
        <v/>
      </c>
      <c r="AI116" s="336" t="str">
        <f t="shared" ref="AI116:AI118" si="557">IF($H116="","",IF($H116="511-01","국비",IF($H116="511-02","균특",IF($H116="511-03","기금",IF($H116="311-02","특교",IF($H116="311-04","소교",IF($H116="321-01","소멸","도비")))))))</f>
        <v/>
      </c>
      <c r="AJ116" s="45"/>
      <c r="AK116" s="336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32" t="str">
        <f>IF($AH116="","",IF($AH116="-",0, SUMIFS('5. 기출'!$AB$7:$AB$2012,'5. 기출'!$AJ$7:$AJ$2012,$AH116)))</f>
        <v/>
      </c>
      <c r="AN116" s="339" t="str">
        <f>IF($AH116="","",IF($AH116="-", 0, COUNTIF('5. 기출'!$AJ$7:$AJ$2012,$AH116)))</f>
        <v/>
      </c>
      <c r="AO116" s="336" t="str">
        <f t="shared" ref="AO116:AO118" si="558">IF($AH116="", "", IF($Z116=$AM116,"OK","@@"))</f>
        <v/>
      </c>
      <c r="AP116" s="46"/>
      <c r="AQ116" s="432" t="str">
        <f>IF($AH116="","",IF($AH116="-",0, SUMIFS('5. 기출'!$AF$7:$AF$2012,'5. 기출'!$AJ$7:$AJ$2012,$AH116)))</f>
        <v/>
      </c>
      <c r="AR116" s="339" t="str">
        <f>IF($AH116="","",IF($AH116="-", 0, COUNTIF('5. 기출'!$AJ$7:$AJ$2012,$AH116)))</f>
        <v/>
      </c>
      <c r="AS116" s="336" t="str">
        <f t="shared" ref="AS116:AS118" si="559">IF($AH116="", "", IF($AD116=$AQ116,"OK","@@"))</f>
        <v/>
      </c>
    </row>
    <row r="117" spans="1:45" ht="79.5" customHeight="1">
      <c r="A117" s="126" t="str">
        <f>IF(D117="","",COUNTA($C$7:C117)-COUNTBLANK($C$7:C117)+28)</f>
        <v/>
      </c>
      <c r="B117" s="127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27" t="str">
        <f>IF(D117="","",IF(OR(D117="교육지원과",D117="총무과",D117="인사과"),"직접입력",VLOOKUP(D117,구분표!$A$3:$C$258,3,)))</f>
        <v/>
      </c>
      <c r="D117" s="194"/>
      <c r="E117" s="181"/>
      <c r="F117" s="350" t="str">
        <f t="shared" ref="F117:G118" si="560">IF($E117="","",IF($E117="2추","직접입력","-"))</f>
        <v/>
      </c>
      <c r="G117" s="350" t="str">
        <f t="shared" si="560"/>
        <v/>
      </c>
      <c r="H117" s="182"/>
      <c r="I117" s="203" t="str">
        <f>IF(H117="","",VLOOKUP($H117,구분표!$O$3:$P$168,2,FALSE))</f>
        <v/>
      </c>
      <c r="J117" s="183"/>
      <c r="K117" s="419" t="str">
        <f t="shared" ref="K117:K118" si="561">IF($E117="","",IF(OR($E117="2추",  $E117="1추", $E117="본예산"), "금액입력", "-"))</f>
        <v/>
      </c>
      <c r="L117" s="419" t="str">
        <f t="shared" ref="L117:L118" si="562">IF($E117="", "", IF($E117="2추","금액입력", "-"))</f>
        <v/>
      </c>
      <c r="M117" s="421" t="str">
        <f t="shared" si="546"/>
        <v/>
      </c>
      <c r="N117" s="420"/>
      <c r="O117" s="421">
        <f t="shared" si="547"/>
        <v>0</v>
      </c>
      <c r="P117" s="422"/>
      <c r="Q117" s="423">
        <f t="shared" si="548"/>
        <v>0</v>
      </c>
      <c r="R117" s="133" t="str">
        <f t="shared" si="549"/>
        <v>X</v>
      </c>
      <c r="S117" s="198"/>
      <c r="T117" s="193"/>
      <c r="U117" s="185"/>
      <c r="V117" s="172"/>
      <c r="W117" s="133" t="str">
        <f t="shared" si="550"/>
        <v/>
      </c>
      <c r="X117" s="185"/>
      <c r="Y117" s="44"/>
      <c r="Z117" s="468" t="str">
        <f t="shared" si="551"/>
        <v/>
      </c>
      <c r="AA117" s="468" t="str">
        <f t="shared" si="552"/>
        <v/>
      </c>
      <c r="AB117" s="336" t="str">
        <f t="shared" si="553"/>
        <v/>
      </c>
      <c r="AC117" s="45"/>
      <c r="AD117" s="468" t="str">
        <f t="shared" si="554"/>
        <v/>
      </c>
      <c r="AE117" s="468" t="str">
        <f t="shared" si="555"/>
        <v/>
      </c>
      <c r="AF117" s="336" t="str">
        <f t="shared" si="556"/>
        <v/>
      </c>
      <c r="AG117" s="45"/>
      <c r="AH117" s="336" t="str">
        <f>IF(AK117="","",IF($W117="도비","-",CONCATENATE(AK117,"-",COUNTIF(AK$7:$AK117,AK117))))</f>
        <v/>
      </c>
      <c r="AI117" s="336" t="str">
        <f t="shared" si="557"/>
        <v/>
      </c>
      <c r="AJ117" s="45"/>
      <c r="AK117" s="336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32" t="str">
        <f>IF($AH117="","",IF($AH117="-",0, SUMIFS('5. 기출'!$AB$7:$AB$2012,'5. 기출'!$AJ$7:$AJ$2012,$AH117)))</f>
        <v/>
      </c>
      <c r="AN117" s="339" t="str">
        <f>IF($AH117="","",IF($AH117="-", 0, COUNTIF('5. 기출'!$AJ$7:$AJ$2012,$AH117)))</f>
        <v/>
      </c>
      <c r="AO117" s="336" t="str">
        <f t="shared" si="558"/>
        <v/>
      </c>
      <c r="AP117" s="46"/>
      <c r="AQ117" s="432" t="str">
        <f>IF($AH117="","",IF($AH117="-",0, SUMIFS('5. 기출'!$AF$7:$AF$2012,'5. 기출'!$AJ$7:$AJ$2012,$AH117)))</f>
        <v/>
      </c>
      <c r="AR117" s="339" t="str">
        <f>IF($AH117="","",IF($AH117="-", 0, COUNTIF('5. 기출'!$AJ$7:$AJ$2012,$AH117)))</f>
        <v/>
      </c>
      <c r="AS117" s="336" t="str">
        <f t="shared" si="559"/>
        <v/>
      </c>
    </row>
    <row r="118" spans="1:45" ht="79.5" customHeight="1">
      <c r="A118" s="126" t="str">
        <f>IF(D118="","",COUNTA($C$7:C118)-COUNTBLANK($C$7:C118)+28)</f>
        <v/>
      </c>
      <c r="B118" s="127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27" t="str">
        <f>IF(D118="","",IF(OR(D118="교육지원과",D118="총무과",D118="인사과"),"직접입력",VLOOKUP(D118,구분표!$A$3:$C$258,3,)))</f>
        <v/>
      </c>
      <c r="D118" s="194"/>
      <c r="E118" s="181"/>
      <c r="F118" s="350" t="str">
        <f t="shared" si="560"/>
        <v/>
      </c>
      <c r="G118" s="350" t="str">
        <f t="shared" si="560"/>
        <v/>
      </c>
      <c r="H118" s="182"/>
      <c r="I118" s="203" t="str">
        <f>IF(H118="","",VLOOKUP($H118,구분표!$O$3:$P$168,2,FALSE))</f>
        <v/>
      </c>
      <c r="J118" s="183"/>
      <c r="K118" s="419" t="str">
        <f t="shared" si="561"/>
        <v/>
      </c>
      <c r="L118" s="419" t="str">
        <f t="shared" si="562"/>
        <v/>
      </c>
      <c r="M118" s="421" t="str">
        <f t="shared" si="546"/>
        <v/>
      </c>
      <c r="N118" s="420"/>
      <c r="O118" s="421">
        <f t="shared" si="547"/>
        <v>0</v>
      </c>
      <c r="P118" s="422"/>
      <c r="Q118" s="423">
        <f t="shared" si="548"/>
        <v>0</v>
      </c>
      <c r="R118" s="133" t="str">
        <f t="shared" si="549"/>
        <v>X</v>
      </c>
      <c r="S118" s="198"/>
      <c r="T118" s="193"/>
      <c r="U118" s="185"/>
      <c r="V118" s="172"/>
      <c r="W118" s="133" t="str">
        <f t="shared" si="550"/>
        <v/>
      </c>
      <c r="X118" s="185"/>
      <c r="Y118" s="44"/>
      <c r="Z118" s="468" t="str">
        <f t="shared" si="551"/>
        <v/>
      </c>
      <c r="AA118" s="468" t="str">
        <f t="shared" si="552"/>
        <v/>
      </c>
      <c r="AB118" s="336" t="str">
        <f t="shared" si="553"/>
        <v/>
      </c>
      <c r="AC118" s="45"/>
      <c r="AD118" s="468" t="str">
        <f t="shared" si="554"/>
        <v/>
      </c>
      <c r="AE118" s="468" t="str">
        <f t="shared" si="555"/>
        <v/>
      </c>
      <c r="AF118" s="336" t="str">
        <f t="shared" si="556"/>
        <v/>
      </c>
      <c r="AG118" s="45"/>
      <c r="AH118" s="336" t="str">
        <f>IF(AK118="","",IF($W118="도비","-",CONCATENATE(AK118,"-",COUNTIF(AK$7:$AK118,AK118))))</f>
        <v/>
      </c>
      <c r="AI118" s="336" t="str">
        <f t="shared" si="557"/>
        <v/>
      </c>
      <c r="AJ118" s="45"/>
      <c r="AK118" s="336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32" t="str">
        <f>IF($AH118="","",IF($AH118="-",0, SUMIFS('5. 기출'!$AB$7:$AB$2012,'5. 기출'!$AJ$7:$AJ$2012,$AH118)))</f>
        <v/>
      </c>
      <c r="AN118" s="339" t="str">
        <f>IF($AH118="","",IF($AH118="-", 0, COUNTIF('5. 기출'!$AJ$7:$AJ$2012,$AH118)))</f>
        <v/>
      </c>
      <c r="AO118" s="336" t="str">
        <f t="shared" si="558"/>
        <v/>
      </c>
      <c r="AP118" s="46"/>
      <c r="AQ118" s="432" t="str">
        <f>IF($AH118="","",IF($AH118="-",0, SUMIFS('5. 기출'!$AF$7:$AF$2012,'5. 기출'!$AJ$7:$AJ$2012,$AH118)))</f>
        <v/>
      </c>
      <c r="AR118" s="339" t="str">
        <f>IF($AH118="","",IF($AH118="-", 0, COUNTIF('5. 기출'!$AJ$7:$AJ$2012,$AH118)))</f>
        <v/>
      </c>
      <c r="AS118" s="336" t="str">
        <f t="shared" si="559"/>
        <v/>
      </c>
    </row>
    <row r="119" spans="1:45" ht="60.75" customHeight="1">
      <c r="A119" s="141"/>
      <c r="B119" s="886" t="s">
        <v>1646</v>
      </c>
      <c r="C119" s="886"/>
      <c r="D119" s="886"/>
      <c r="E119" s="886"/>
      <c r="F119" s="886"/>
      <c r="G119" s="886"/>
      <c r="H119" s="78"/>
      <c r="I119" s="78"/>
      <c r="J119" s="313" t="str">
        <f>SUBTOTAL(3,J120:J122)&amp;"건"</f>
        <v>0건</v>
      </c>
      <c r="K119" s="418">
        <f t="shared" ref="K119:Q119" si="563">SUBTOTAL(9,K120:K122)</f>
        <v>0</v>
      </c>
      <c r="L119" s="418">
        <f t="shared" si="563"/>
        <v>0</v>
      </c>
      <c r="M119" s="418">
        <f t="shared" si="563"/>
        <v>0</v>
      </c>
      <c r="N119" s="418">
        <f t="shared" si="563"/>
        <v>0</v>
      </c>
      <c r="O119" s="418">
        <f t="shared" si="563"/>
        <v>0</v>
      </c>
      <c r="P119" s="418">
        <f t="shared" si="563"/>
        <v>0</v>
      </c>
      <c r="Q119" s="418">
        <f t="shared" si="563"/>
        <v>0</v>
      </c>
      <c r="R119" s="77"/>
      <c r="S119" s="77"/>
      <c r="T119" s="77"/>
      <c r="U119" s="77"/>
      <c r="V119" s="77"/>
      <c r="W119" s="79"/>
      <c r="X119" s="79"/>
      <c r="Y119" s="42"/>
      <c r="Z119" s="418">
        <f>SUBTOTAL(9,Z120:Z122)</f>
        <v>0</v>
      </c>
      <c r="AA119" s="418">
        <f>SUBTOTAL(9,AA120:AA122)</f>
        <v>0</v>
      </c>
      <c r="AB119" s="511" t="str">
        <f>IF(COUNTIF(AB120:AB122,"@@")&gt;0,"@@","OK")</f>
        <v>OK</v>
      </c>
      <c r="AC119" s="43"/>
      <c r="AD119" s="418">
        <f>SUBTOTAL(9,AD120:AD122)</f>
        <v>0</v>
      </c>
      <c r="AE119" s="418">
        <f>SUBTOTAL(9,AE120:AE122)</f>
        <v>0</v>
      </c>
      <c r="AF119" s="511" t="str">
        <f>IF(COUNTIF(AF120:AF122,"@@")&gt;0,"@@","OK")</f>
        <v>OK</v>
      </c>
      <c r="AG119" s="43"/>
      <c r="AH119" s="141"/>
      <c r="AI119" s="141"/>
      <c r="AJ119" s="43"/>
      <c r="AK119" s="141"/>
      <c r="AL119" s="43"/>
      <c r="AM119" s="418">
        <f>SUBTOTAL(9,AM120:AM122)</f>
        <v>0</v>
      </c>
      <c r="AN119" s="418">
        <f>SUBTOTAL(9,AN120:AN122)</f>
        <v>0</v>
      </c>
      <c r="AO119" s="511" t="str">
        <f>IF(COUNTIF(AO120:AO122,"@@")&gt;0,"@@","OK")</f>
        <v>OK</v>
      </c>
      <c r="AP119" s="43"/>
      <c r="AQ119" s="418">
        <f t="shared" ref="AQ119:AR119" si="564">SUBTOTAL(9,AQ120:AQ122)</f>
        <v>0</v>
      </c>
      <c r="AR119" s="418">
        <f t="shared" si="564"/>
        <v>0</v>
      </c>
      <c r="AS119" s="511" t="str">
        <f>IF(COUNTIF(AS120:AS122,"@@")&gt;0,"@@","OK")</f>
        <v>OK</v>
      </c>
    </row>
    <row r="120" spans="1:45" ht="79.5" customHeight="1">
      <c r="A120" s="126" t="str">
        <f>IF(D120="","",COUNTA($C$7:C120)-COUNTBLANK($C$7:C120)+29)</f>
        <v/>
      </c>
      <c r="B120" s="127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27" t="str">
        <f>IF(D120="","",IF(OR(D120="교육지원과",D120="총무과",D120="인사과"),"직접입력",VLOOKUP(D120,구분표!$A$3:$C$258,3,)))</f>
        <v/>
      </c>
      <c r="D120" s="194"/>
      <c r="E120" s="181"/>
      <c r="F120" s="350" t="str">
        <f>IF($E120="","",IF($E120="2추","직접입력","-"))</f>
        <v/>
      </c>
      <c r="G120" s="350" t="str">
        <f>IF($E120="","",IF($E120="2추","직접입력","-"))</f>
        <v/>
      </c>
      <c r="H120" s="182"/>
      <c r="I120" s="203" t="str">
        <f>IF(H120="","",VLOOKUP($H120,구분표!$O$3:$P$168,2,FALSE))</f>
        <v/>
      </c>
      <c r="J120" s="183"/>
      <c r="K120" s="419" t="str">
        <f>IF($E120="","",IF(OR($E120="2추",  $E120="1추", $E120="본예산"), "금액입력", "-"))</f>
        <v/>
      </c>
      <c r="L120" s="419" t="str">
        <f>IF($E120="", "", IF($E120="2추","금액입력", "-"))</f>
        <v/>
      </c>
      <c r="M120" s="421" t="str">
        <f t="shared" ref="M120:M122" si="565">IF($E120="","",SUM(K120:L120))</f>
        <v/>
      </c>
      <c r="N120" s="420"/>
      <c r="O120" s="421">
        <f t="shared" ref="O120:O122" si="566">SUM(M120:N120)</f>
        <v>0</v>
      </c>
      <c r="P120" s="422"/>
      <c r="Q120" s="423">
        <f t="shared" ref="Q120:Q122" si="567">SUM(M120,P120)</f>
        <v>0</v>
      </c>
      <c r="R120" s="133" t="str">
        <f t="shared" ref="R120:R122" si="568">IF(AND((O120=0),(Q120&gt;0)),"O",IF(AND((N120&lt;0),(O120-Q120&lt;0)),"O","X"))</f>
        <v>X</v>
      </c>
      <c r="S120" s="198"/>
      <c r="T120" s="193"/>
      <c r="U120" s="185"/>
      <c r="V120" s="172"/>
      <c r="W120" s="133" t="str">
        <f t="shared" ref="W120:W122" si="569">IF($H120="","",IF(OR($H120="511-01", $H120="511-02", $H120="511-03", $H120="311-02", $H120="311-04", $H120="321-01"),"국도비","도비"))</f>
        <v/>
      </c>
      <c r="X120" s="185"/>
      <c r="Y120" s="44"/>
      <c r="Z120" s="468" t="str">
        <f t="shared" ref="Z120:Z122" si="570">IF($W120="", "", IF($W120="국도비",$N120, 0))</f>
        <v/>
      </c>
      <c r="AA120" s="468" t="str">
        <f t="shared" ref="AA120:AA122" si="571">IF($W120="", "", IF($W120="도비",$N120, 0))</f>
        <v/>
      </c>
      <c r="AB120" s="336" t="str">
        <f t="shared" ref="AB120:AB122" si="572">IF($W120="", "", IF($N120=SUM($Z120:$AA120),"OK","@@"))</f>
        <v/>
      </c>
      <c r="AC120" s="45"/>
      <c r="AD120" s="468" t="str">
        <f t="shared" ref="AD120:AD122" si="573">IF($W120="", "", IF($W120="국도비",$P120, 0))</f>
        <v/>
      </c>
      <c r="AE120" s="468" t="str">
        <f t="shared" ref="AE120:AE122" si="574">IF($W120="", "", IF($W120="도비",$P120, 0))</f>
        <v/>
      </c>
      <c r="AF120" s="336" t="str">
        <f t="shared" ref="AF120:AF122" si="575">IF($W120="", "", IF($P120=SUM($AD120:$AE120),"OK","@@"))</f>
        <v/>
      </c>
      <c r="AG120" s="45"/>
      <c r="AH120" s="336" t="str">
        <f>IF(AK120="","",IF($W120="도비","-",CONCATENATE(AK120,"-",COUNTIF(AK$7:$AK120,AK120))))</f>
        <v/>
      </c>
      <c r="AI120" s="336" t="str">
        <f t="shared" ref="AI120:AI122" si="576">IF($H120="","",IF($H120="511-01","국비",IF($H120="511-02","균특",IF($H120="511-03","기금",IF($H120="311-02","특교",IF($H120="311-04","소교",IF($H120="321-01","소멸","도비")))))))</f>
        <v/>
      </c>
      <c r="AJ120" s="45"/>
      <c r="AK120" s="336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32" t="str">
        <f>IF($AH120="","",IF($AH120="-",0, SUMIFS('5. 기출'!$AB$7:$AB$2012,'5. 기출'!$AJ$7:$AJ$2012,$AH120)))</f>
        <v/>
      </c>
      <c r="AN120" s="339" t="str">
        <f>IF($AH120="","",IF($AH120="-", 0, COUNTIF('5. 기출'!$AJ$7:$AJ$2012,$AH120)))</f>
        <v/>
      </c>
      <c r="AO120" s="336" t="str">
        <f t="shared" ref="AO120:AO122" si="577">IF($AH120="", "", IF($Z120=$AM120,"OK","@@"))</f>
        <v/>
      </c>
      <c r="AP120" s="46"/>
      <c r="AQ120" s="432" t="str">
        <f>IF($AH120="","",IF($AH120="-",0, SUMIFS('5. 기출'!$AF$7:$AF$2012,'5. 기출'!$AJ$7:$AJ$2012,$AH120)))</f>
        <v/>
      </c>
      <c r="AR120" s="339" t="str">
        <f>IF($AH120="","",IF($AH120="-", 0, COUNTIF('5. 기출'!$AJ$7:$AJ$2012,$AH120)))</f>
        <v/>
      </c>
      <c r="AS120" s="336" t="str">
        <f t="shared" ref="AS120:AS122" si="578">IF($AH120="", "", IF($AD120=$AQ120,"OK","@@"))</f>
        <v/>
      </c>
    </row>
    <row r="121" spans="1:45" ht="79.5" customHeight="1">
      <c r="A121" s="126" t="str">
        <f>IF(D121="","",COUNTA($C$7:C121)-COUNTBLANK($C$7:C121)+29)</f>
        <v/>
      </c>
      <c r="B121" s="127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27" t="str">
        <f>IF(D121="","",IF(OR(D121="교육지원과",D121="총무과",D121="인사과"),"직접입력",VLOOKUP(D121,구분표!$A$3:$C$258,3,)))</f>
        <v/>
      </c>
      <c r="D121" s="194"/>
      <c r="E121" s="181"/>
      <c r="F121" s="350" t="str">
        <f t="shared" ref="F121:G122" si="579">IF($E121="","",IF($E121="2추","직접입력","-"))</f>
        <v/>
      </c>
      <c r="G121" s="350" t="str">
        <f t="shared" si="579"/>
        <v/>
      </c>
      <c r="H121" s="182"/>
      <c r="I121" s="203" t="str">
        <f>IF(H121="","",VLOOKUP($H121,구분표!$O$3:$P$168,2,FALSE))</f>
        <v/>
      </c>
      <c r="J121" s="183"/>
      <c r="K121" s="419" t="str">
        <f t="shared" ref="K121:K122" si="580">IF($E121="","",IF(OR($E121="2추",  $E121="1추", $E121="본예산"), "금액입력", "-"))</f>
        <v/>
      </c>
      <c r="L121" s="419" t="str">
        <f t="shared" ref="L121:L122" si="581">IF($E121="", "", IF($E121="2추","금액입력", "-"))</f>
        <v/>
      </c>
      <c r="M121" s="421" t="str">
        <f t="shared" si="565"/>
        <v/>
      </c>
      <c r="N121" s="420"/>
      <c r="O121" s="421">
        <f t="shared" si="566"/>
        <v>0</v>
      </c>
      <c r="P121" s="422"/>
      <c r="Q121" s="423">
        <f t="shared" si="567"/>
        <v>0</v>
      </c>
      <c r="R121" s="133" t="str">
        <f t="shared" si="568"/>
        <v>X</v>
      </c>
      <c r="S121" s="198"/>
      <c r="T121" s="193"/>
      <c r="U121" s="185"/>
      <c r="V121" s="172"/>
      <c r="W121" s="133" t="str">
        <f t="shared" si="569"/>
        <v/>
      </c>
      <c r="X121" s="185"/>
      <c r="Y121" s="44"/>
      <c r="Z121" s="468" t="str">
        <f t="shared" si="570"/>
        <v/>
      </c>
      <c r="AA121" s="468" t="str">
        <f t="shared" si="571"/>
        <v/>
      </c>
      <c r="AB121" s="336" t="str">
        <f t="shared" si="572"/>
        <v/>
      </c>
      <c r="AC121" s="45"/>
      <c r="AD121" s="468" t="str">
        <f t="shared" si="573"/>
        <v/>
      </c>
      <c r="AE121" s="468" t="str">
        <f t="shared" si="574"/>
        <v/>
      </c>
      <c r="AF121" s="336" t="str">
        <f t="shared" si="575"/>
        <v/>
      </c>
      <c r="AG121" s="45"/>
      <c r="AH121" s="336" t="str">
        <f>IF(AK121="","",IF($W121="도비","-",CONCATENATE(AK121,"-",COUNTIF(AK$7:$AK121,AK121))))</f>
        <v/>
      </c>
      <c r="AI121" s="336" t="str">
        <f t="shared" si="576"/>
        <v/>
      </c>
      <c r="AJ121" s="45"/>
      <c r="AK121" s="336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32" t="str">
        <f>IF($AH121="","",IF($AH121="-",0, SUMIFS('5. 기출'!$AB$7:$AB$2012,'5. 기출'!$AJ$7:$AJ$2012,$AH121)))</f>
        <v/>
      </c>
      <c r="AN121" s="339" t="str">
        <f>IF($AH121="","",IF($AH121="-", 0, COUNTIF('5. 기출'!$AJ$7:$AJ$2012,$AH121)))</f>
        <v/>
      </c>
      <c r="AO121" s="336" t="str">
        <f t="shared" si="577"/>
        <v/>
      </c>
      <c r="AP121" s="46"/>
      <c r="AQ121" s="432" t="str">
        <f>IF($AH121="","",IF($AH121="-",0, SUMIFS('5. 기출'!$AF$7:$AF$2012,'5. 기출'!$AJ$7:$AJ$2012,$AH121)))</f>
        <v/>
      </c>
      <c r="AR121" s="339" t="str">
        <f>IF($AH121="","",IF($AH121="-", 0, COUNTIF('5. 기출'!$AJ$7:$AJ$2012,$AH121)))</f>
        <v/>
      </c>
      <c r="AS121" s="336" t="str">
        <f t="shared" si="578"/>
        <v/>
      </c>
    </row>
    <row r="122" spans="1:45" ht="79.5" customHeight="1">
      <c r="A122" s="126" t="str">
        <f>IF(D122="","",COUNTA($C$7:C122)-COUNTBLANK($C$7:C122)+29)</f>
        <v/>
      </c>
      <c r="B122" s="127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27" t="str">
        <f>IF(D122="","",IF(OR(D122="교육지원과",D122="총무과",D122="인사과"),"직접입력",VLOOKUP(D122,구분표!$A$3:$C$258,3,)))</f>
        <v/>
      </c>
      <c r="D122" s="194"/>
      <c r="E122" s="181"/>
      <c r="F122" s="350" t="str">
        <f t="shared" si="579"/>
        <v/>
      </c>
      <c r="G122" s="350" t="str">
        <f t="shared" si="579"/>
        <v/>
      </c>
      <c r="H122" s="182"/>
      <c r="I122" s="203" t="str">
        <f>IF(H122="","",VLOOKUP($H122,구분표!$O$3:$P$168,2,FALSE))</f>
        <v/>
      </c>
      <c r="J122" s="183"/>
      <c r="K122" s="419" t="str">
        <f t="shared" si="580"/>
        <v/>
      </c>
      <c r="L122" s="419" t="str">
        <f t="shared" si="581"/>
        <v/>
      </c>
      <c r="M122" s="421" t="str">
        <f t="shared" si="565"/>
        <v/>
      </c>
      <c r="N122" s="420"/>
      <c r="O122" s="421">
        <f t="shared" si="566"/>
        <v>0</v>
      </c>
      <c r="P122" s="422"/>
      <c r="Q122" s="423">
        <f t="shared" si="567"/>
        <v>0</v>
      </c>
      <c r="R122" s="133" t="str">
        <f t="shared" si="568"/>
        <v>X</v>
      </c>
      <c r="S122" s="198"/>
      <c r="T122" s="193"/>
      <c r="U122" s="185"/>
      <c r="V122" s="172"/>
      <c r="W122" s="133" t="str">
        <f t="shared" si="569"/>
        <v/>
      </c>
      <c r="X122" s="185"/>
      <c r="Y122" s="44"/>
      <c r="Z122" s="468" t="str">
        <f t="shared" si="570"/>
        <v/>
      </c>
      <c r="AA122" s="468" t="str">
        <f t="shared" si="571"/>
        <v/>
      </c>
      <c r="AB122" s="336" t="str">
        <f t="shared" si="572"/>
        <v/>
      </c>
      <c r="AC122" s="45"/>
      <c r="AD122" s="468" t="str">
        <f t="shared" si="573"/>
        <v/>
      </c>
      <c r="AE122" s="468" t="str">
        <f t="shared" si="574"/>
        <v/>
      </c>
      <c r="AF122" s="336" t="str">
        <f t="shared" si="575"/>
        <v/>
      </c>
      <c r="AG122" s="45"/>
      <c r="AH122" s="336" t="str">
        <f>IF(AK122="","",IF($W122="도비","-",CONCATENATE(AK122,"-",COUNTIF(AK$7:$AK122,AK122))))</f>
        <v/>
      </c>
      <c r="AI122" s="336" t="str">
        <f t="shared" si="576"/>
        <v/>
      </c>
      <c r="AJ122" s="45"/>
      <c r="AK122" s="336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32" t="str">
        <f>IF($AH122="","",IF($AH122="-",0, SUMIFS('5. 기출'!$AB$7:$AB$2012,'5. 기출'!$AJ$7:$AJ$2012,$AH122)))</f>
        <v/>
      </c>
      <c r="AN122" s="339" t="str">
        <f>IF($AH122="","",IF($AH122="-", 0, COUNTIF('5. 기출'!$AJ$7:$AJ$2012,$AH122)))</f>
        <v/>
      </c>
      <c r="AO122" s="336" t="str">
        <f t="shared" si="577"/>
        <v/>
      </c>
      <c r="AP122" s="46"/>
      <c r="AQ122" s="432" t="str">
        <f>IF($AH122="","",IF($AH122="-",0, SUMIFS('5. 기출'!$AF$7:$AF$2012,'5. 기출'!$AJ$7:$AJ$2012,$AH122)))</f>
        <v/>
      </c>
      <c r="AR122" s="339" t="str">
        <f>IF($AH122="","",IF($AH122="-", 0, COUNTIF('5. 기출'!$AJ$7:$AJ$2012,$AH122)))</f>
        <v/>
      </c>
      <c r="AS122" s="336" t="str">
        <f t="shared" si="578"/>
        <v/>
      </c>
    </row>
    <row r="123" spans="1:45" ht="60.75" customHeight="1">
      <c r="A123" s="141"/>
      <c r="B123" s="886" t="s">
        <v>1647</v>
      </c>
      <c r="C123" s="886"/>
      <c r="D123" s="886"/>
      <c r="E123" s="886"/>
      <c r="F123" s="886"/>
      <c r="G123" s="886"/>
      <c r="H123" s="78"/>
      <c r="I123" s="78"/>
      <c r="J123" s="313" t="str">
        <f>SUBTOTAL(3,J124:J126)&amp;"건"</f>
        <v>0건</v>
      </c>
      <c r="K123" s="418">
        <f t="shared" ref="K123:Q123" si="582">SUBTOTAL(9,K124:K126)</f>
        <v>0</v>
      </c>
      <c r="L123" s="418">
        <f t="shared" si="582"/>
        <v>0</v>
      </c>
      <c r="M123" s="418">
        <f t="shared" si="582"/>
        <v>0</v>
      </c>
      <c r="N123" s="418">
        <f t="shared" si="582"/>
        <v>0</v>
      </c>
      <c r="O123" s="418">
        <f t="shared" si="582"/>
        <v>0</v>
      </c>
      <c r="P123" s="418">
        <f t="shared" si="582"/>
        <v>0</v>
      </c>
      <c r="Q123" s="418">
        <f t="shared" si="582"/>
        <v>0</v>
      </c>
      <c r="R123" s="77"/>
      <c r="S123" s="77"/>
      <c r="T123" s="77"/>
      <c r="U123" s="77"/>
      <c r="V123" s="77"/>
      <c r="W123" s="79"/>
      <c r="X123" s="79"/>
      <c r="Y123" s="42"/>
      <c r="Z123" s="418">
        <f>SUBTOTAL(9,Z124:Z126)</f>
        <v>0</v>
      </c>
      <c r="AA123" s="418">
        <f>SUBTOTAL(9,AA124:AA126)</f>
        <v>0</v>
      </c>
      <c r="AB123" s="511" t="str">
        <f>IF(COUNTIF(AB124:AB126,"@@")&gt;0,"@@","OK")</f>
        <v>OK</v>
      </c>
      <c r="AC123" s="43"/>
      <c r="AD123" s="418">
        <f>SUBTOTAL(9,AD124:AD126)</f>
        <v>0</v>
      </c>
      <c r="AE123" s="418">
        <f>SUBTOTAL(9,AE124:AE126)</f>
        <v>0</v>
      </c>
      <c r="AF123" s="511" t="str">
        <f>IF(COUNTIF(AF124:AF126,"@@")&gt;0,"@@","OK")</f>
        <v>OK</v>
      </c>
      <c r="AG123" s="43"/>
      <c r="AH123" s="141"/>
      <c r="AI123" s="141"/>
      <c r="AJ123" s="43"/>
      <c r="AK123" s="141"/>
      <c r="AL123" s="43"/>
      <c r="AM123" s="418">
        <f>SUBTOTAL(9,AM124:AM126)</f>
        <v>0</v>
      </c>
      <c r="AN123" s="418">
        <f>SUBTOTAL(9,AN124:AN126)</f>
        <v>0</v>
      </c>
      <c r="AO123" s="511" t="str">
        <f>IF(COUNTIF(AO124:AO126,"@@")&gt;0,"@@","OK")</f>
        <v>OK</v>
      </c>
      <c r="AP123" s="43"/>
      <c r="AQ123" s="418">
        <f t="shared" ref="AQ123" si="583">SUBTOTAL(9,AQ124:AQ126)</f>
        <v>0</v>
      </c>
      <c r="AR123" s="418">
        <f t="shared" ref="AR123" si="584">SUBTOTAL(9,AR124:AR126)</f>
        <v>0</v>
      </c>
      <c r="AS123" s="511" t="str">
        <f>IF(COUNTIF(AS124:AS126,"@@")&gt;0,"@@","OK")</f>
        <v>OK</v>
      </c>
    </row>
    <row r="124" spans="1:45" ht="79.5" customHeight="1">
      <c r="A124" s="126" t="str">
        <f>IF(D124="","",COUNTA($C$7:C124)-COUNTBLANK($C$7:C124)+30)</f>
        <v/>
      </c>
      <c r="B124" s="127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27" t="str">
        <f>IF(D124="","",IF(OR(D124="교육지원과",D124="총무과",D124="인사과"),"직접입력",VLOOKUP(D124,구분표!$A$3:$C$258,3,)))</f>
        <v/>
      </c>
      <c r="D124" s="194"/>
      <c r="E124" s="181"/>
      <c r="F124" s="350" t="str">
        <f>IF($E124="","",IF($E124="2추","직접입력","-"))</f>
        <v/>
      </c>
      <c r="G124" s="350" t="str">
        <f>IF($E124="","",IF($E124="2추","직접입력","-"))</f>
        <v/>
      </c>
      <c r="H124" s="182"/>
      <c r="I124" s="203" t="str">
        <f>IF(H124="","",VLOOKUP($H124,구분표!$O$3:$P$168,2,FALSE))</f>
        <v/>
      </c>
      <c r="J124" s="183"/>
      <c r="K124" s="419" t="str">
        <f>IF($E124="","",IF(OR($E124="2추",  $E124="1추", $E124="본예산"), "금액입력", "-"))</f>
        <v/>
      </c>
      <c r="L124" s="419" t="str">
        <f>IF($E124="", "", IF($E124="2추","금액입력", "-"))</f>
        <v/>
      </c>
      <c r="M124" s="421" t="str">
        <f t="shared" ref="M124:M126" si="585">IF($E124="","",SUM(K124:L124))</f>
        <v/>
      </c>
      <c r="N124" s="420"/>
      <c r="O124" s="421">
        <f t="shared" ref="O124:O126" si="586">SUM(M124:N124)</f>
        <v>0</v>
      </c>
      <c r="P124" s="422"/>
      <c r="Q124" s="423">
        <f t="shared" ref="Q124:Q126" si="587">SUM(M124,P124)</f>
        <v>0</v>
      </c>
      <c r="R124" s="133" t="str">
        <f t="shared" ref="R124:R126" si="588">IF(AND((O124=0),(Q124&gt;0)),"O",IF(AND((N124&lt;0),(O124-Q124&lt;0)),"O","X"))</f>
        <v>X</v>
      </c>
      <c r="S124" s="198"/>
      <c r="T124" s="193"/>
      <c r="U124" s="185"/>
      <c r="V124" s="172"/>
      <c r="W124" s="133" t="str">
        <f t="shared" ref="W124:W126" si="589">IF($H124="","",IF(OR($H124="511-01", $H124="511-02", $H124="511-03", $H124="311-02", $H124="311-04", $H124="321-01"),"국도비","도비"))</f>
        <v/>
      </c>
      <c r="X124" s="185"/>
      <c r="Y124" s="44"/>
      <c r="Z124" s="468" t="str">
        <f t="shared" ref="Z124:Z126" si="590">IF($W124="", "", IF($W124="국도비",$N124, 0))</f>
        <v/>
      </c>
      <c r="AA124" s="468" t="str">
        <f t="shared" ref="AA124:AA126" si="591">IF($W124="", "", IF($W124="도비",$N124, 0))</f>
        <v/>
      </c>
      <c r="AB124" s="336" t="str">
        <f t="shared" ref="AB124:AB126" si="592">IF($W124="", "", IF($N124=SUM($Z124:$AA124),"OK","@@"))</f>
        <v/>
      </c>
      <c r="AC124" s="45"/>
      <c r="AD124" s="468" t="str">
        <f t="shared" ref="AD124:AD126" si="593">IF($W124="", "", IF($W124="국도비",$P124, 0))</f>
        <v/>
      </c>
      <c r="AE124" s="468" t="str">
        <f t="shared" ref="AE124:AE126" si="594">IF($W124="", "", IF($W124="도비",$P124, 0))</f>
        <v/>
      </c>
      <c r="AF124" s="336" t="str">
        <f t="shared" ref="AF124:AF126" si="595">IF($W124="", "", IF($P124=SUM($AD124:$AE124),"OK","@@"))</f>
        <v/>
      </c>
      <c r="AG124" s="45"/>
      <c r="AH124" s="336" t="str">
        <f>IF(AK124="","",IF($W124="도비","-",CONCATENATE(AK124,"-",COUNTIF(AK$7:$AK124,AK124))))</f>
        <v/>
      </c>
      <c r="AI124" s="336" t="str">
        <f t="shared" ref="AI124:AI126" si="596">IF($H124="","",IF($H124="511-01","국비",IF($H124="511-02","균특",IF($H124="511-03","기금",IF($H124="311-02","특교",IF($H124="311-04","소교",IF($H124="321-01","소멸","도비")))))))</f>
        <v/>
      </c>
      <c r="AJ124" s="45"/>
      <c r="AK124" s="336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32" t="str">
        <f>IF($AH124="","",IF($AH124="-",0, SUMIFS('5. 기출'!$AB$7:$AB$2012,'5. 기출'!$AJ$7:$AJ$2012,$AH124)))</f>
        <v/>
      </c>
      <c r="AN124" s="339" t="str">
        <f>IF($AH124="","",IF($AH124="-", 0, COUNTIF('5. 기출'!$AJ$7:$AJ$2012,$AH124)))</f>
        <v/>
      </c>
      <c r="AO124" s="336" t="str">
        <f t="shared" ref="AO124:AO126" si="597">IF($AH124="", "", IF($Z124=$AM124,"OK","@@"))</f>
        <v/>
      </c>
      <c r="AP124" s="46"/>
      <c r="AQ124" s="432" t="str">
        <f>IF($AH124="","",IF($AH124="-",0, SUMIFS('5. 기출'!$AF$7:$AF$2012,'5. 기출'!$AJ$7:$AJ$2012,$AH124)))</f>
        <v/>
      </c>
      <c r="AR124" s="339" t="str">
        <f>IF($AH124="","",IF($AH124="-", 0, COUNTIF('5. 기출'!$AJ$7:$AJ$2012,$AH124)))</f>
        <v/>
      </c>
      <c r="AS124" s="336" t="str">
        <f t="shared" ref="AS124:AS126" si="598">IF($AH124="", "", IF($AD124=$AQ124,"OK","@@"))</f>
        <v/>
      </c>
    </row>
    <row r="125" spans="1:45" ht="79.5" customHeight="1">
      <c r="A125" s="126" t="str">
        <f>IF(D125="","",COUNTA($C$7:C125)-COUNTBLANK($C$7:C125)+30)</f>
        <v/>
      </c>
      <c r="B125" s="127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27" t="str">
        <f>IF(D125="","",IF(OR(D125="교육지원과",D125="총무과",D125="인사과"),"직접입력",VLOOKUP(D125,구분표!$A$3:$C$258,3,)))</f>
        <v/>
      </c>
      <c r="D125" s="194"/>
      <c r="E125" s="181"/>
      <c r="F125" s="350" t="str">
        <f t="shared" ref="F125:G126" si="599">IF($E125="","",IF($E125="2추","직접입력","-"))</f>
        <v/>
      </c>
      <c r="G125" s="350" t="str">
        <f t="shared" si="599"/>
        <v/>
      </c>
      <c r="H125" s="182"/>
      <c r="I125" s="203" t="str">
        <f>IF(H125="","",VLOOKUP($H125,구분표!$O$3:$P$168,2,FALSE))</f>
        <v/>
      </c>
      <c r="J125" s="183"/>
      <c r="K125" s="419" t="str">
        <f t="shared" ref="K125:K126" si="600">IF($E125="","",IF(OR($E125="2추",  $E125="1추", $E125="본예산"), "금액입력", "-"))</f>
        <v/>
      </c>
      <c r="L125" s="419" t="str">
        <f t="shared" ref="L125:L126" si="601">IF($E125="", "", IF($E125="2추","금액입력", "-"))</f>
        <v/>
      </c>
      <c r="M125" s="421" t="str">
        <f t="shared" si="585"/>
        <v/>
      </c>
      <c r="N125" s="420"/>
      <c r="O125" s="421">
        <f t="shared" si="586"/>
        <v>0</v>
      </c>
      <c r="P125" s="422"/>
      <c r="Q125" s="423">
        <f t="shared" si="587"/>
        <v>0</v>
      </c>
      <c r="R125" s="133" t="str">
        <f t="shared" si="588"/>
        <v>X</v>
      </c>
      <c r="S125" s="198"/>
      <c r="T125" s="193"/>
      <c r="U125" s="185"/>
      <c r="V125" s="172"/>
      <c r="W125" s="133" t="str">
        <f t="shared" si="589"/>
        <v/>
      </c>
      <c r="X125" s="185"/>
      <c r="Y125" s="44"/>
      <c r="Z125" s="468" t="str">
        <f t="shared" si="590"/>
        <v/>
      </c>
      <c r="AA125" s="468" t="str">
        <f t="shared" si="591"/>
        <v/>
      </c>
      <c r="AB125" s="336" t="str">
        <f t="shared" si="592"/>
        <v/>
      </c>
      <c r="AC125" s="45"/>
      <c r="AD125" s="468" t="str">
        <f t="shared" si="593"/>
        <v/>
      </c>
      <c r="AE125" s="468" t="str">
        <f t="shared" si="594"/>
        <v/>
      </c>
      <c r="AF125" s="336" t="str">
        <f t="shared" si="595"/>
        <v/>
      </c>
      <c r="AG125" s="45"/>
      <c r="AH125" s="336" t="str">
        <f>IF(AK125="","",IF($W125="도비","-",CONCATENATE(AK125,"-",COUNTIF(AK$7:$AK125,AK125))))</f>
        <v/>
      </c>
      <c r="AI125" s="336" t="str">
        <f t="shared" si="596"/>
        <v/>
      </c>
      <c r="AJ125" s="45"/>
      <c r="AK125" s="336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32" t="str">
        <f>IF($AH125="","",IF($AH125="-",0, SUMIFS('5. 기출'!$AB$7:$AB$2012,'5. 기출'!$AJ$7:$AJ$2012,$AH125)))</f>
        <v/>
      </c>
      <c r="AN125" s="339" t="str">
        <f>IF($AH125="","",IF($AH125="-", 0, COUNTIF('5. 기출'!$AJ$7:$AJ$2012,$AH125)))</f>
        <v/>
      </c>
      <c r="AO125" s="336" t="str">
        <f t="shared" si="597"/>
        <v/>
      </c>
      <c r="AP125" s="46"/>
      <c r="AQ125" s="432" t="str">
        <f>IF($AH125="","",IF($AH125="-",0, SUMIFS('5. 기출'!$AF$7:$AF$2012,'5. 기출'!$AJ$7:$AJ$2012,$AH125)))</f>
        <v/>
      </c>
      <c r="AR125" s="339" t="str">
        <f>IF($AH125="","",IF($AH125="-", 0, COUNTIF('5. 기출'!$AJ$7:$AJ$2012,$AH125)))</f>
        <v/>
      </c>
      <c r="AS125" s="336" t="str">
        <f t="shared" si="598"/>
        <v/>
      </c>
    </row>
    <row r="126" spans="1:45" ht="79.5" customHeight="1">
      <c r="A126" s="126" t="str">
        <f>IF(D126="","",COUNTA($C$7:C126)-COUNTBLANK($C$7:C126)+30)</f>
        <v/>
      </c>
      <c r="B126" s="127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27" t="str">
        <f>IF(D126="","",IF(OR(D126="교육지원과",D126="총무과",D126="인사과"),"직접입력",VLOOKUP(D126,구분표!$A$3:$C$258,3,)))</f>
        <v/>
      </c>
      <c r="D126" s="194"/>
      <c r="E126" s="181"/>
      <c r="F126" s="350" t="str">
        <f t="shared" si="599"/>
        <v/>
      </c>
      <c r="G126" s="350" t="str">
        <f t="shared" si="599"/>
        <v/>
      </c>
      <c r="H126" s="182"/>
      <c r="I126" s="203" t="str">
        <f>IF(H126="","",VLOOKUP($H126,구분표!$O$3:$P$168,2,FALSE))</f>
        <v/>
      </c>
      <c r="J126" s="183"/>
      <c r="K126" s="419" t="str">
        <f t="shared" si="600"/>
        <v/>
      </c>
      <c r="L126" s="419" t="str">
        <f t="shared" si="601"/>
        <v/>
      </c>
      <c r="M126" s="421" t="str">
        <f t="shared" si="585"/>
        <v/>
      </c>
      <c r="N126" s="420"/>
      <c r="O126" s="421">
        <f t="shared" si="586"/>
        <v>0</v>
      </c>
      <c r="P126" s="422"/>
      <c r="Q126" s="423">
        <f t="shared" si="587"/>
        <v>0</v>
      </c>
      <c r="R126" s="133" t="str">
        <f t="shared" si="588"/>
        <v>X</v>
      </c>
      <c r="S126" s="198"/>
      <c r="T126" s="193"/>
      <c r="U126" s="185"/>
      <c r="V126" s="172"/>
      <c r="W126" s="133" t="str">
        <f t="shared" si="589"/>
        <v/>
      </c>
      <c r="X126" s="185"/>
      <c r="Y126" s="44"/>
      <c r="Z126" s="468" t="str">
        <f t="shared" si="590"/>
        <v/>
      </c>
      <c r="AA126" s="468" t="str">
        <f t="shared" si="591"/>
        <v/>
      </c>
      <c r="AB126" s="336" t="str">
        <f t="shared" si="592"/>
        <v/>
      </c>
      <c r="AC126" s="45"/>
      <c r="AD126" s="468" t="str">
        <f t="shared" si="593"/>
        <v/>
      </c>
      <c r="AE126" s="468" t="str">
        <f t="shared" si="594"/>
        <v/>
      </c>
      <c r="AF126" s="336" t="str">
        <f t="shared" si="595"/>
        <v/>
      </c>
      <c r="AG126" s="45"/>
      <c r="AH126" s="336" t="str">
        <f>IF(AK126="","",IF($W126="도비","-",CONCATENATE(AK126,"-",COUNTIF(AK$7:$AK126,AK126))))</f>
        <v/>
      </c>
      <c r="AI126" s="336" t="str">
        <f t="shared" si="596"/>
        <v/>
      </c>
      <c r="AJ126" s="45"/>
      <c r="AK126" s="336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32" t="str">
        <f>IF($AH126="","",IF($AH126="-",0, SUMIFS('5. 기출'!$AB$7:$AB$2012,'5. 기출'!$AJ$7:$AJ$2012,$AH126)))</f>
        <v/>
      </c>
      <c r="AN126" s="339" t="str">
        <f>IF($AH126="","",IF($AH126="-", 0, COUNTIF('5. 기출'!$AJ$7:$AJ$2012,$AH126)))</f>
        <v/>
      </c>
      <c r="AO126" s="336" t="str">
        <f t="shared" si="597"/>
        <v/>
      </c>
      <c r="AP126" s="46"/>
      <c r="AQ126" s="432" t="str">
        <f>IF($AH126="","",IF($AH126="-",0, SUMIFS('5. 기출'!$AF$7:$AF$2012,'5. 기출'!$AJ$7:$AJ$2012,$AH126)))</f>
        <v/>
      </c>
      <c r="AR126" s="339" t="str">
        <f>IF($AH126="","",IF($AH126="-", 0, COUNTIF('5. 기출'!$AJ$7:$AJ$2012,$AH126)))</f>
        <v/>
      </c>
      <c r="AS126" s="336" t="str">
        <f t="shared" si="598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49"/>
      <c r="N127" s="449"/>
      <c r="O127" s="449"/>
      <c r="P127" s="449"/>
      <c r="Q127" s="449"/>
      <c r="R127" s="43"/>
      <c r="S127" s="43"/>
      <c r="T127" s="43"/>
      <c r="U127" s="43"/>
      <c r="V127" s="43"/>
      <c r="W127" s="50"/>
      <c r="X127" s="62"/>
      <c r="Y127" s="43"/>
      <c r="Z127" s="449"/>
      <c r="AA127" s="449"/>
      <c r="AB127" s="43"/>
      <c r="AC127" s="43"/>
      <c r="AD127" s="449"/>
      <c r="AE127" s="449"/>
      <c r="AF127" s="43"/>
      <c r="AG127" s="43"/>
      <c r="AH127" s="43"/>
      <c r="AI127" s="43"/>
      <c r="AJ127" s="43"/>
      <c r="AK127" s="43"/>
      <c r="AL127" s="43"/>
      <c r="AM127" s="449"/>
      <c r="AN127" s="43"/>
      <c r="AO127" s="43"/>
      <c r="AP127" s="43"/>
      <c r="AQ127" s="449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49"/>
      <c r="N128" s="449"/>
      <c r="O128" s="449"/>
      <c r="P128" s="449"/>
      <c r="Q128" s="449"/>
      <c r="R128" s="43"/>
      <c r="S128" s="43"/>
      <c r="T128" s="43"/>
      <c r="U128" s="43"/>
      <c r="V128" s="43"/>
      <c r="W128" s="50"/>
      <c r="X128" s="62"/>
      <c r="Y128" s="43"/>
      <c r="Z128" s="449"/>
      <c r="AA128" s="449"/>
      <c r="AB128" s="43"/>
      <c r="AC128" s="43"/>
      <c r="AD128" s="449"/>
      <c r="AE128" s="449"/>
      <c r="AF128" s="43"/>
      <c r="AG128" s="43"/>
      <c r="AH128" s="43"/>
      <c r="AI128" s="43"/>
      <c r="AJ128" s="43"/>
      <c r="AK128" s="43"/>
      <c r="AL128" s="43"/>
      <c r="AM128" s="449"/>
      <c r="AN128" s="43"/>
      <c r="AO128" s="43"/>
      <c r="AP128" s="43"/>
      <c r="AQ128" s="449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49"/>
      <c r="N129" s="449"/>
      <c r="O129" s="449"/>
      <c r="P129" s="449"/>
      <c r="Q129" s="449"/>
      <c r="R129" s="43"/>
      <c r="S129" s="43"/>
      <c r="T129" s="43"/>
      <c r="U129" s="43"/>
      <c r="V129" s="43"/>
      <c r="W129" s="50"/>
      <c r="X129" s="62"/>
      <c r="Y129" s="43"/>
      <c r="Z129" s="449"/>
      <c r="AA129" s="449"/>
      <c r="AB129" s="43"/>
      <c r="AC129" s="43"/>
      <c r="AD129" s="449"/>
      <c r="AE129" s="449"/>
      <c r="AF129" s="43"/>
      <c r="AG129" s="43"/>
      <c r="AH129" s="43"/>
      <c r="AI129" s="43"/>
      <c r="AJ129" s="43"/>
      <c r="AK129" s="43"/>
      <c r="AL129" s="43"/>
      <c r="AM129" s="449"/>
      <c r="AN129" s="43"/>
      <c r="AO129" s="43"/>
      <c r="AP129" s="43"/>
      <c r="AQ129" s="449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49"/>
      <c r="N130" s="449"/>
      <c r="O130" s="449"/>
      <c r="P130" s="449"/>
      <c r="Q130" s="449"/>
      <c r="R130" s="43"/>
      <c r="S130" s="43"/>
      <c r="T130" s="43"/>
      <c r="U130" s="43"/>
      <c r="V130" s="43"/>
      <c r="W130" s="50"/>
      <c r="X130" s="62"/>
      <c r="Y130" s="43"/>
      <c r="Z130" s="449"/>
      <c r="AA130" s="449"/>
      <c r="AB130" s="43"/>
      <c r="AC130" s="43"/>
      <c r="AD130" s="449"/>
      <c r="AE130" s="449"/>
      <c r="AF130" s="43"/>
      <c r="AG130" s="43"/>
      <c r="AH130" s="43"/>
      <c r="AI130" s="43"/>
      <c r="AJ130" s="43"/>
      <c r="AK130" s="43"/>
      <c r="AL130" s="43"/>
      <c r="AM130" s="449"/>
      <c r="AN130" s="43"/>
      <c r="AO130" s="43"/>
      <c r="AP130" s="43"/>
      <c r="AQ130" s="449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49"/>
      <c r="N131" s="449"/>
      <c r="O131" s="449"/>
      <c r="P131" s="449"/>
      <c r="Q131" s="449"/>
      <c r="R131" s="43"/>
      <c r="S131" s="43"/>
      <c r="T131" s="43"/>
      <c r="U131" s="43"/>
      <c r="V131" s="43"/>
      <c r="W131" s="50"/>
      <c r="X131" s="62"/>
      <c r="Y131" s="43"/>
      <c r="Z131" s="449"/>
      <c r="AA131" s="449"/>
      <c r="AB131" s="43"/>
      <c r="AC131" s="43"/>
      <c r="AD131" s="449"/>
      <c r="AE131" s="449"/>
      <c r="AF131" s="43"/>
      <c r="AG131" s="43"/>
      <c r="AH131" s="43"/>
      <c r="AI131" s="43"/>
      <c r="AJ131" s="43"/>
      <c r="AK131" s="43"/>
      <c r="AL131" s="43"/>
      <c r="AM131" s="449"/>
      <c r="AN131" s="43"/>
      <c r="AO131" s="43"/>
      <c r="AP131" s="43"/>
      <c r="AQ131" s="449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49"/>
      <c r="N132" s="449"/>
      <c r="O132" s="449"/>
      <c r="P132" s="449"/>
      <c r="Q132" s="449"/>
      <c r="R132" s="43"/>
      <c r="S132" s="43"/>
      <c r="T132" s="43"/>
      <c r="U132" s="43"/>
      <c r="V132" s="43"/>
      <c r="W132" s="50"/>
      <c r="X132" s="62"/>
      <c r="Y132" s="43"/>
      <c r="Z132" s="449"/>
      <c r="AA132" s="449"/>
      <c r="AB132" s="43"/>
      <c r="AC132" s="43"/>
      <c r="AD132" s="449"/>
      <c r="AE132" s="449"/>
      <c r="AF132" s="43"/>
      <c r="AG132" s="43"/>
      <c r="AH132" s="43"/>
      <c r="AI132" s="43"/>
      <c r="AJ132" s="43"/>
      <c r="AK132" s="43"/>
      <c r="AL132" s="43"/>
      <c r="AM132" s="449"/>
      <c r="AN132" s="43"/>
      <c r="AO132" s="43"/>
      <c r="AP132" s="43"/>
      <c r="AQ132" s="449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49"/>
      <c r="N133" s="449"/>
      <c r="O133" s="449"/>
      <c r="P133" s="449"/>
      <c r="Q133" s="449"/>
      <c r="R133" s="43"/>
      <c r="S133" s="43"/>
      <c r="T133" s="43"/>
      <c r="U133" s="43"/>
      <c r="V133" s="43"/>
      <c r="W133" s="50"/>
      <c r="X133" s="62"/>
      <c r="Y133" s="43"/>
      <c r="Z133" s="449"/>
      <c r="AA133" s="449"/>
      <c r="AB133" s="43"/>
      <c r="AC133" s="43"/>
      <c r="AD133" s="449"/>
      <c r="AE133" s="449"/>
      <c r="AF133" s="43"/>
      <c r="AG133" s="43"/>
      <c r="AH133" s="43"/>
      <c r="AI133" s="43"/>
      <c r="AJ133" s="43"/>
      <c r="AK133" s="43"/>
      <c r="AL133" s="43"/>
      <c r="AM133" s="449"/>
      <c r="AN133" s="43"/>
      <c r="AO133" s="43"/>
      <c r="AP133" s="43"/>
      <c r="AQ133" s="449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49"/>
      <c r="N134" s="449"/>
      <c r="O134" s="449"/>
      <c r="P134" s="449"/>
      <c r="Q134" s="449"/>
      <c r="R134" s="43"/>
      <c r="S134" s="43"/>
      <c r="T134" s="43"/>
      <c r="U134" s="43"/>
      <c r="V134" s="43"/>
      <c r="W134" s="50"/>
      <c r="X134" s="62"/>
      <c r="Y134" s="43"/>
      <c r="Z134" s="449"/>
      <c r="AA134" s="449"/>
      <c r="AB134" s="43"/>
      <c r="AC134" s="43"/>
      <c r="AD134" s="449"/>
      <c r="AE134" s="449"/>
      <c r="AF134" s="43"/>
      <c r="AG134" s="43"/>
      <c r="AH134" s="43"/>
      <c r="AI134" s="43"/>
      <c r="AJ134" s="43"/>
      <c r="AK134" s="43"/>
      <c r="AL134" s="43"/>
      <c r="AM134" s="449"/>
      <c r="AN134" s="43"/>
      <c r="AO134" s="43"/>
      <c r="AP134" s="43"/>
      <c r="AQ134" s="449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49"/>
      <c r="N135" s="449"/>
      <c r="O135" s="449"/>
      <c r="P135" s="449"/>
      <c r="Q135" s="449"/>
      <c r="R135" s="43"/>
      <c r="S135" s="43"/>
      <c r="T135" s="43"/>
      <c r="U135" s="43"/>
      <c r="V135" s="43"/>
      <c r="W135" s="50"/>
      <c r="X135" s="62"/>
      <c r="Y135" s="43"/>
      <c r="Z135" s="449"/>
      <c r="AA135" s="449"/>
      <c r="AB135" s="43"/>
      <c r="AC135" s="43"/>
      <c r="AD135" s="449"/>
      <c r="AE135" s="449"/>
      <c r="AF135" s="43"/>
      <c r="AG135" s="43"/>
      <c r="AH135" s="43"/>
      <c r="AI135" s="43"/>
      <c r="AJ135" s="43"/>
      <c r="AK135" s="43"/>
      <c r="AL135" s="43"/>
      <c r="AM135" s="449"/>
      <c r="AN135" s="43"/>
      <c r="AO135" s="43"/>
      <c r="AP135" s="43"/>
      <c r="AQ135" s="449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49"/>
      <c r="N136" s="449"/>
      <c r="O136" s="449"/>
      <c r="P136" s="449"/>
      <c r="Q136" s="449"/>
      <c r="R136" s="43"/>
      <c r="S136" s="43"/>
      <c r="T136" s="43"/>
      <c r="U136" s="43"/>
      <c r="V136" s="43"/>
      <c r="W136" s="50"/>
      <c r="X136" s="62"/>
      <c r="Y136" s="43"/>
      <c r="Z136" s="449"/>
      <c r="AA136" s="449"/>
      <c r="AB136" s="43"/>
      <c r="AC136" s="43"/>
      <c r="AD136" s="449"/>
      <c r="AE136" s="449"/>
      <c r="AF136" s="43"/>
      <c r="AG136" s="43"/>
      <c r="AH136" s="43"/>
      <c r="AI136" s="43"/>
      <c r="AJ136" s="43"/>
      <c r="AK136" s="43"/>
      <c r="AL136" s="43"/>
      <c r="AM136" s="449"/>
      <c r="AN136" s="43"/>
      <c r="AO136" s="43"/>
      <c r="AP136" s="43"/>
      <c r="AQ136" s="449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49"/>
      <c r="N137" s="449"/>
      <c r="O137" s="449"/>
      <c r="P137" s="449"/>
      <c r="Q137" s="449"/>
      <c r="R137" s="43"/>
      <c r="S137" s="43"/>
      <c r="T137" s="43"/>
      <c r="U137" s="43"/>
      <c r="V137" s="43"/>
      <c r="W137" s="50"/>
      <c r="X137" s="62"/>
      <c r="Y137" s="43"/>
      <c r="Z137" s="449"/>
      <c r="AA137" s="449"/>
      <c r="AB137" s="43"/>
      <c r="AC137" s="43"/>
      <c r="AD137" s="449"/>
      <c r="AE137" s="449"/>
      <c r="AF137" s="43"/>
      <c r="AG137" s="43"/>
      <c r="AH137" s="43"/>
      <c r="AI137" s="43"/>
      <c r="AJ137" s="43"/>
      <c r="AK137" s="43"/>
      <c r="AL137" s="43"/>
      <c r="AM137" s="449"/>
      <c r="AN137" s="43"/>
      <c r="AO137" s="43"/>
      <c r="AP137" s="43"/>
      <c r="AQ137" s="449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49"/>
      <c r="N138" s="449"/>
      <c r="O138" s="449"/>
      <c r="P138" s="449"/>
      <c r="Q138" s="449"/>
      <c r="R138" s="43"/>
      <c r="S138" s="43"/>
      <c r="T138" s="43"/>
      <c r="U138" s="43"/>
      <c r="V138" s="43"/>
      <c r="W138" s="50"/>
      <c r="X138" s="62"/>
      <c r="Y138" s="43"/>
      <c r="Z138" s="449"/>
      <c r="AA138" s="449"/>
      <c r="AB138" s="43"/>
      <c r="AC138" s="43"/>
      <c r="AD138" s="449"/>
      <c r="AE138" s="449"/>
      <c r="AF138" s="43"/>
      <c r="AG138" s="43"/>
      <c r="AH138" s="43"/>
      <c r="AI138" s="43"/>
      <c r="AJ138" s="43"/>
      <c r="AK138" s="43"/>
      <c r="AL138" s="43"/>
      <c r="AM138" s="449"/>
      <c r="AN138" s="43"/>
      <c r="AO138" s="43"/>
      <c r="AP138" s="43"/>
      <c r="AQ138" s="449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 xr:uid="{B4C2065B-ECAE-4EAA-8E3E-382050B37261}"/>
  <mergeCells count="66">
    <mergeCell ref="B115:G115"/>
    <mergeCell ref="B23:G23"/>
    <mergeCell ref="B27:G27"/>
    <mergeCell ref="J4:J5"/>
    <mergeCell ref="I4:I5"/>
    <mergeCell ref="H4:H5"/>
    <mergeCell ref="F4:F5"/>
    <mergeCell ref="G4:G5"/>
    <mergeCell ref="B111:G111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</mergeCells>
  <phoneticPr fontId="1" type="noConversion"/>
  <conditionalFormatting sqref="F1:G3 F127:G1048576 F71:G71 F11:G11 F15:G15 F19:G19 F23:G23 F27:G27 F31:G31 F35:G35 F39:G39 F43:G43 F47:G47 F51:G51 F55:G55 F59:G59 F63:G63 F67:G67 F75:G75 F79:G79 F83:G83 F87:G87 F91:G91 F95:G95 F99:G99 F103:G103 F107:G107 F6:G7">
    <cfRule type="containsText" dxfId="585" priority="1005" operator="containsText" text="직접입력">
      <formula>NOT(ISERROR(SEARCH("직접입력",F1)))</formula>
    </cfRule>
  </conditionalFormatting>
  <conditionalFormatting sqref="J1:L3 J127:L1048576 J4:J110 J112:J114 J116:J118 J120:J122 J124:J126">
    <cfRule type="containsText" dxfId="584" priority="1004" operator="containsText" text="부기명 입력">
      <formula>NOT(ISERROR(SEARCH("부기명 입력",J1)))</formula>
    </cfRule>
  </conditionalFormatting>
  <conditionalFormatting sqref="M1:M3 M127:M1048576 M6">
    <cfRule type="containsText" dxfId="583" priority="1003" operator="containsText" text="금액입력">
      <formula>NOT(ISERROR(SEARCH("금액입력",M1)))</formula>
    </cfRule>
  </conditionalFormatting>
  <conditionalFormatting sqref="F123:G123">
    <cfRule type="containsText" dxfId="582" priority="1002" operator="containsText" text="직접입력">
      <formula>NOT(ISERROR(SEARCH("직접입력",F123)))</formula>
    </cfRule>
  </conditionalFormatting>
  <conditionalFormatting sqref="J123">
    <cfRule type="containsText" dxfId="581" priority="1001" operator="containsText" text="부기명 입력">
      <formula>NOT(ISERROR(SEARCH("부기명 입력",J123)))</formula>
    </cfRule>
  </conditionalFormatting>
  <conditionalFormatting sqref="K7:Q7">
    <cfRule type="containsText" dxfId="580" priority="994" operator="containsText" text="금액입력">
      <formula>NOT(ISERROR(SEARCH("금액입력",K7)))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579" priority="966" operator="containsText" text="금액입력">
      <formula>NOT(ISERROR(SEARCH("금액입력",M8)))</formula>
    </cfRule>
  </conditionalFormatting>
  <conditionalFormatting sqref="K6:L6">
    <cfRule type="containsText" dxfId="578" priority="780" operator="containsText" text="금액입력">
      <formula>NOT(ISERROR(SEARCH("금액입력",K6)))</formula>
    </cfRule>
  </conditionalFormatting>
  <conditionalFormatting sqref="K11:Q11">
    <cfRule type="containsText" dxfId="577" priority="806" operator="containsText" text="금액입력">
      <formula>NOT(ISERROR(SEARCH("금액입력",K11)))</formula>
    </cfRule>
  </conditionalFormatting>
  <conditionalFormatting sqref="K15:Q15">
    <cfRule type="containsText" dxfId="576" priority="805" operator="containsText" text="금액입력">
      <formula>NOT(ISERROR(SEARCH("금액입력",K15)))</formula>
    </cfRule>
  </conditionalFormatting>
  <conditionalFormatting sqref="K19:Q19">
    <cfRule type="containsText" dxfId="575" priority="804" operator="containsText" text="금액입력">
      <formula>NOT(ISERROR(SEARCH("금액입력",K19)))</formula>
    </cfRule>
  </conditionalFormatting>
  <conditionalFormatting sqref="K23:Q23">
    <cfRule type="containsText" dxfId="574" priority="803" operator="containsText" text="금액입력">
      <formula>NOT(ISERROR(SEARCH("금액입력",K23)))</formula>
    </cfRule>
  </conditionalFormatting>
  <conditionalFormatting sqref="K27:Q27">
    <cfRule type="containsText" dxfId="573" priority="802" operator="containsText" text="금액입력">
      <formula>NOT(ISERROR(SEARCH("금액입력",K27)))</formula>
    </cfRule>
  </conditionalFormatting>
  <conditionalFormatting sqref="K31:Q31">
    <cfRule type="containsText" dxfId="572" priority="801" operator="containsText" text="금액입력">
      <formula>NOT(ISERROR(SEARCH("금액입력",K31)))</formula>
    </cfRule>
  </conditionalFormatting>
  <conditionalFormatting sqref="K35:Q35">
    <cfRule type="containsText" dxfId="571" priority="800" operator="containsText" text="금액입력">
      <formula>NOT(ISERROR(SEARCH("금액입력",K35)))</formula>
    </cfRule>
  </conditionalFormatting>
  <conditionalFormatting sqref="K39:Q39">
    <cfRule type="containsText" dxfId="570" priority="799" operator="containsText" text="금액입력">
      <formula>NOT(ISERROR(SEARCH("금액입력",K39)))</formula>
    </cfRule>
  </conditionalFormatting>
  <conditionalFormatting sqref="K43:Q43">
    <cfRule type="containsText" dxfId="569" priority="798" operator="containsText" text="금액입력">
      <formula>NOT(ISERROR(SEARCH("금액입력",K43)))</formula>
    </cfRule>
  </conditionalFormatting>
  <conditionalFormatting sqref="K47:Q47">
    <cfRule type="containsText" dxfId="568" priority="797" operator="containsText" text="금액입력">
      <formula>NOT(ISERROR(SEARCH("금액입력",K47)))</formula>
    </cfRule>
  </conditionalFormatting>
  <conditionalFormatting sqref="K51:Q51">
    <cfRule type="containsText" dxfId="567" priority="796" operator="containsText" text="금액입력">
      <formula>NOT(ISERROR(SEARCH("금액입력",K51)))</formula>
    </cfRule>
  </conditionalFormatting>
  <conditionalFormatting sqref="K55:Q55">
    <cfRule type="containsText" dxfId="566" priority="795" operator="containsText" text="금액입력">
      <formula>NOT(ISERROR(SEARCH("금액입력",K55)))</formula>
    </cfRule>
  </conditionalFormatting>
  <conditionalFormatting sqref="K59:Q59">
    <cfRule type="containsText" dxfId="565" priority="794" operator="containsText" text="금액입력">
      <formula>NOT(ISERROR(SEARCH("금액입력",K59)))</formula>
    </cfRule>
  </conditionalFormatting>
  <conditionalFormatting sqref="K63:Q63">
    <cfRule type="containsText" dxfId="564" priority="793" operator="containsText" text="금액입력">
      <formula>NOT(ISERROR(SEARCH("금액입력",K63)))</formula>
    </cfRule>
  </conditionalFormatting>
  <conditionalFormatting sqref="K67:Q67">
    <cfRule type="containsText" dxfId="563" priority="792" operator="containsText" text="금액입력">
      <formula>NOT(ISERROR(SEARCH("금액입력",K67)))</formula>
    </cfRule>
  </conditionalFormatting>
  <conditionalFormatting sqref="K71:Q71">
    <cfRule type="containsText" dxfId="562" priority="791" operator="containsText" text="금액입력">
      <formula>NOT(ISERROR(SEARCH("금액입력",K71)))</formula>
    </cfRule>
  </conditionalFormatting>
  <conditionalFormatting sqref="K75:Q75">
    <cfRule type="containsText" dxfId="561" priority="790" operator="containsText" text="금액입력">
      <formula>NOT(ISERROR(SEARCH("금액입력",K75)))</formula>
    </cfRule>
  </conditionalFormatting>
  <conditionalFormatting sqref="K79:Q79">
    <cfRule type="containsText" dxfId="560" priority="789" operator="containsText" text="금액입력">
      <formula>NOT(ISERROR(SEARCH("금액입력",K79)))</formula>
    </cfRule>
  </conditionalFormatting>
  <conditionalFormatting sqref="K83:Q83">
    <cfRule type="containsText" dxfId="559" priority="788" operator="containsText" text="금액입력">
      <formula>NOT(ISERROR(SEARCH("금액입력",K83)))</formula>
    </cfRule>
  </conditionalFormatting>
  <conditionalFormatting sqref="K87:Q87">
    <cfRule type="containsText" dxfId="558" priority="787" operator="containsText" text="금액입력">
      <formula>NOT(ISERROR(SEARCH("금액입력",K87)))</formula>
    </cfRule>
  </conditionalFormatting>
  <conditionalFormatting sqref="K91:Q91">
    <cfRule type="containsText" dxfId="557" priority="786" operator="containsText" text="금액입력">
      <formula>NOT(ISERROR(SEARCH("금액입력",K91)))</formula>
    </cfRule>
  </conditionalFormatting>
  <conditionalFormatting sqref="K95:Q95">
    <cfRule type="containsText" dxfId="556" priority="785" operator="containsText" text="금액입력">
      <formula>NOT(ISERROR(SEARCH("금액입력",K95)))</formula>
    </cfRule>
  </conditionalFormatting>
  <conditionalFormatting sqref="K99:Q99">
    <cfRule type="containsText" dxfId="555" priority="784" operator="containsText" text="금액입력">
      <formula>NOT(ISERROR(SEARCH("금액입력",K99)))</formula>
    </cfRule>
  </conditionalFormatting>
  <conditionalFormatting sqref="K103:Q103">
    <cfRule type="containsText" dxfId="554" priority="783" operator="containsText" text="금액입력">
      <formula>NOT(ISERROR(SEARCH("금액입력",K103)))</formula>
    </cfRule>
  </conditionalFormatting>
  <conditionalFormatting sqref="K107:Q107">
    <cfRule type="containsText" dxfId="553" priority="782" operator="containsText" text="금액입력">
      <formula>NOT(ISERROR(SEARCH("금액입력",K107)))</formula>
    </cfRule>
  </conditionalFormatting>
  <conditionalFormatting sqref="K123:Q123">
    <cfRule type="containsText" dxfId="552" priority="781" operator="containsText" text="금액입력">
      <formula>NOT(ISERROR(SEARCH("금액입력",K123)))</formula>
    </cfRule>
  </conditionalFormatting>
  <conditionalFormatting sqref="M4:M5">
    <cfRule type="containsText" dxfId="551" priority="779" operator="containsText" text="금액입력">
      <formula>NOT(ISERROR(SEARCH("금액입력",M4)))</formula>
    </cfRule>
  </conditionalFormatting>
  <conditionalFormatting sqref="F4:G5">
    <cfRule type="containsText" dxfId="550" priority="777" operator="containsText" text="직접입력">
      <formula>NOT(ISERROR(SEARCH("직접입력",F4)))</formula>
    </cfRule>
  </conditionalFormatting>
  <conditionalFormatting sqref="F111:G111">
    <cfRule type="containsText" dxfId="549" priority="776" operator="containsText" text="직접입력">
      <formula>NOT(ISERROR(SEARCH("직접입력",F111)))</formula>
    </cfRule>
  </conditionalFormatting>
  <conditionalFormatting sqref="J111">
    <cfRule type="containsText" dxfId="548" priority="775" operator="containsText" text="부기명 입력">
      <formula>NOT(ISERROR(SEARCH("부기명 입력",J111)))</formula>
    </cfRule>
  </conditionalFormatting>
  <conditionalFormatting sqref="K111:Q111">
    <cfRule type="containsText" dxfId="547" priority="766" operator="containsText" text="금액입력">
      <formula>NOT(ISERROR(SEARCH("금액입력",K111)))</formula>
    </cfRule>
  </conditionalFormatting>
  <conditionalFormatting sqref="K4:L5">
    <cfRule type="containsText" dxfId="546" priority="765" operator="containsText" text="금액입력">
      <formula>NOT(ISERROR(SEARCH("금액입력",K4)))</formula>
    </cfRule>
  </conditionalFormatting>
  <conditionalFormatting sqref="F119:G119">
    <cfRule type="containsText" dxfId="545" priority="615" operator="containsText" text="직접입력">
      <formula>NOT(ISERROR(SEARCH("직접입력",F119)))</formula>
    </cfRule>
  </conditionalFormatting>
  <conditionalFormatting sqref="J119">
    <cfRule type="containsText" dxfId="544" priority="614" operator="containsText" text="부기명 입력">
      <formula>NOT(ISERROR(SEARCH("부기명 입력",J119)))</formula>
    </cfRule>
  </conditionalFormatting>
  <conditionalFormatting sqref="K119:Q119">
    <cfRule type="containsText" dxfId="543" priority="608" operator="containsText" text="금액입력">
      <formula>NOT(ISERROR(SEARCH("금액입력",K119)))</formula>
    </cfRule>
  </conditionalFormatting>
  <conditionalFormatting sqref="F115:G115">
    <cfRule type="containsText" dxfId="542" priority="607" operator="containsText" text="직접입력">
      <formula>NOT(ISERROR(SEARCH("직접입력",F115)))</formula>
    </cfRule>
  </conditionalFormatting>
  <conditionalFormatting sqref="J115">
    <cfRule type="containsText" dxfId="541" priority="606" operator="containsText" text="부기명 입력">
      <formula>NOT(ISERROR(SEARCH("부기명 입력",J115)))</formula>
    </cfRule>
  </conditionalFormatting>
  <conditionalFormatting sqref="K115:Q115">
    <cfRule type="containsText" dxfId="540" priority="600" operator="containsText" text="금액입력">
      <formula>NOT(ISERROR(SEARCH("금액입력",K115)))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539" priority="599" operator="containsText" text="직접입력">
      <formula>NOT(ISERROR(SEARCH("직접입력",B8)))</formula>
    </cfRule>
  </conditionalFormatting>
  <conditionalFormatting sqref="F8:G10">
    <cfRule type="containsText" dxfId="538" priority="449" operator="containsText" text="직접입력">
      <formula>NOT(ISERROR(SEARCH("직접입력",F8)))</formula>
    </cfRule>
  </conditionalFormatting>
  <conditionalFormatting sqref="K8:K10">
    <cfRule type="containsText" dxfId="537" priority="383" operator="containsText" text="부기명 입력">
      <formula>NOT(ISERROR(SEARCH("부기명 입력",K8)))</formula>
    </cfRule>
  </conditionalFormatting>
  <conditionalFormatting sqref="K8:K10">
    <cfRule type="containsText" dxfId="536" priority="382" operator="containsText" text="금액입력">
      <formula>NOT(ISERROR(SEARCH("금액입력",K8)))</formula>
    </cfRule>
  </conditionalFormatting>
  <conditionalFormatting sqref="L8:L10">
    <cfRule type="containsText" dxfId="535" priority="381" operator="containsText" text="금액입력">
      <formula>NOT(ISERROR(SEARCH("금액입력",L8)))</formula>
    </cfRule>
  </conditionalFormatting>
  <conditionalFormatting sqref="K8:K10">
    <cfRule type="containsText" dxfId="534" priority="380" operator="containsText" text="부기명 입력">
      <formula>NOT(ISERROR(SEARCH("부기명 입력",K8)))</formula>
    </cfRule>
  </conditionalFormatting>
  <conditionalFormatting sqref="K8:K10">
    <cfRule type="containsText" dxfId="533" priority="379" operator="containsText" text="금액입력">
      <formula>NOT(ISERROR(SEARCH("금액입력",K8)))</formula>
    </cfRule>
  </conditionalFormatting>
  <conditionalFormatting sqref="L8:L10">
    <cfRule type="containsText" dxfId="532" priority="378" operator="containsText" text="금액입력">
      <formula>NOT(ISERROR(SEARCH("금액입력",L8)))</formula>
    </cfRule>
  </conditionalFormatting>
  <conditionalFormatting sqref="F12:G14">
    <cfRule type="containsText" dxfId="531" priority="203" operator="containsText" text="직접입력">
      <formula>NOT(ISERROR(SEARCH("직접입력",F12)))</formula>
    </cfRule>
  </conditionalFormatting>
  <conditionalFormatting sqref="F16:G18">
    <cfRule type="containsText" dxfId="530" priority="202" operator="containsText" text="직접입력">
      <formula>NOT(ISERROR(SEARCH("직접입력",F16)))</formula>
    </cfRule>
  </conditionalFormatting>
  <conditionalFormatting sqref="F20:G22">
    <cfRule type="containsText" dxfId="529" priority="201" operator="containsText" text="직접입력">
      <formula>NOT(ISERROR(SEARCH("직접입력",F20)))</formula>
    </cfRule>
  </conditionalFormatting>
  <conditionalFormatting sqref="F24:G26">
    <cfRule type="containsText" dxfId="528" priority="200" operator="containsText" text="직접입력">
      <formula>NOT(ISERROR(SEARCH("직접입력",F24)))</formula>
    </cfRule>
  </conditionalFormatting>
  <conditionalFormatting sqref="F28:G30">
    <cfRule type="containsText" dxfId="527" priority="199" operator="containsText" text="직접입력">
      <formula>NOT(ISERROR(SEARCH("직접입력",F28)))</formula>
    </cfRule>
  </conditionalFormatting>
  <conditionalFormatting sqref="F32:G34">
    <cfRule type="containsText" dxfId="526" priority="198" operator="containsText" text="직접입력">
      <formula>NOT(ISERROR(SEARCH("직접입력",F32)))</formula>
    </cfRule>
  </conditionalFormatting>
  <conditionalFormatting sqref="F36:G38">
    <cfRule type="containsText" dxfId="525" priority="197" operator="containsText" text="직접입력">
      <formula>NOT(ISERROR(SEARCH("직접입력",F36)))</formula>
    </cfRule>
  </conditionalFormatting>
  <conditionalFormatting sqref="F40:G42">
    <cfRule type="containsText" dxfId="524" priority="196" operator="containsText" text="직접입력">
      <formula>NOT(ISERROR(SEARCH("직접입력",F40)))</formula>
    </cfRule>
  </conditionalFormatting>
  <conditionalFormatting sqref="F44:G46">
    <cfRule type="containsText" dxfId="523" priority="195" operator="containsText" text="직접입력">
      <formula>NOT(ISERROR(SEARCH("직접입력",F44)))</formula>
    </cfRule>
  </conditionalFormatting>
  <conditionalFormatting sqref="F48:G50">
    <cfRule type="containsText" dxfId="522" priority="194" operator="containsText" text="직접입력">
      <formula>NOT(ISERROR(SEARCH("직접입력",F48)))</formula>
    </cfRule>
  </conditionalFormatting>
  <conditionalFormatting sqref="F52:G54">
    <cfRule type="containsText" dxfId="521" priority="193" operator="containsText" text="직접입력">
      <formula>NOT(ISERROR(SEARCH("직접입력",F52)))</formula>
    </cfRule>
  </conditionalFormatting>
  <conditionalFormatting sqref="F56:G58">
    <cfRule type="containsText" dxfId="520" priority="192" operator="containsText" text="직접입력">
      <formula>NOT(ISERROR(SEARCH("직접입력",F56)))</formula>
    </cfRule>
  </conditionalFormatting>
  <conditionalFormatting sqref="F60:G62">
    <cfRule type="containsText" dxfId="519" priority="191" operator="containsText" text="직접입력">
      <formula>NOT(ISERROR(SEARCH("직접입력",F60)))</formula>
    </cfRule>
  </conditionalFormatting>
  <conditionalFormatting sqref="F64:G66">
    <cfRule type="containsText" dxfId="518" priority="190" operator="containsText" text="직접입력">
      <formula>NOT(ISERROR(SEARCH("직접입력",F64)))</formula>
    </cfRule>
  </conditionalFormatting>
  <conditionalFormatting sqref="F68:G70">
    <cfRule type="containsText" dxfId="517" priority="189" operator="containsText" text="직접입력">
      <formula>NOT(ISERROR(SEARCH("직접입력",F68)))</formula>
    </cfRule>
  </conditionalFormatting>
  <conditionalFormatting sqref="F72:G74">
    <cfRule type="containsText" dxfId="516" priority="188" operator="containsText" text="직접입력">
      <formula>NOT(ISERROR(SEARCH("직접입력",F72)))</formula>
    </cfRule>
  </conditionalFormatting>
  <conditionalFormatting sqref="F76:G78">
    <cfRule type="containsText" dxfId="515" priority="187" operator="containsText" text="직접입력">
      <formula>NOT(ISERROR(SEARCH("직접입력",F76)))</formula>
    </cfRule>
  </conditionalFormatting>
  <conditionalFormatting sqref="F80:G82">
    <cfRule type="containsText" dxfId="514" priority="186" operator="containsText" text="직접입력">
      <formula>NOT(ISERROR(SEARCH("직접입력",F80)))</formula>
    </cfRule>
  </conditionalFormatting>
  <conditionalFormatting sqref="F84:G86">
    <cfRule type="containsText" dxfId="513" priority="185" operator="containsText" text="직접입력">
      <formula>NOT(ISERROR(SEARCH("직접입력",F84)))</formula>
    </cfRule>
  </conditionalFormatting>
  <conditionalFormatting sqref="F88:G90">
    <cfRule type="containsText" dxfId="512" priority="184" operator="containsText" text="직접입력">
      <formula>NOT(ISERROR(SEARCH("직접입력",F88)))</formula>
    </cfRule>
  </conditionalFormatting>
  <conditionalFormatting sqref="F92:G94">
    <cfRule type="containsText" dxfId="511" priority="183" operator="containsText" text="직접입력">
      <formula>NOT(ISERROR(SEARCH("직접입력",F92)))</formula>
    </cfRule>
  </conditionalFormatting>
  <conditionalFormatting sqref="F96:G98">
    <cfRule type="containsText" dxfId="510" priority="182" operator="containsText" text="직접입력">
      <formula>NOT(ISERROR(SEARCH("직접입력",F96)))</formula>
    </cfRule>
  </conditionalFormatting>
  <conditionalFormatting sqref="F100:G102">
    <cfRule type="containsText" dxfId="509" priority="181" operator="containsText" text="직접입력">
      <formula>NOT(ISERROR(SEARCH("직접입력",F100)))</formula>
    </cfRule>
  </conditionalFormatting>
  <conditionalFormatting sqref="F104:G106">
    <cfRule type="containsText" dxfId="508" priority="180" operator="containsText" text="직접입력">
      <formula>NOT(ISERROR(SEARCH("직접입력",F104)))</formula>
    </cfRule>
  </conditionalFormatting>
  <conditionalFormatting sqref="F108:G110">
    <cfRule type="containsText" dxfId="507" priority="179" operator="containsText" text="직접입력">
      <formula>NOT(ISERROR(SEARCH("직접입력",F108)))</formula>
    </cfRule>
  </conditionalFormatting>
  <conditionalFormatting sqref="F112:G114">
    <cfRule type="containsText" dxfId="506" priority="178" operator="containsText" text="직접입력">
      <formula>NOT(ISERROR(SEARCH("직접입력",F112)))</formula>
    </cfRule>
  </conditionalFormatting>
  <conditionalFormatting sqref="F116:G118">
    <cfRule type="containsText" dxfId="505" priority="177" operator="containsText" text="직접입력">
      <formula>NOT(ISERROR(SEARCH("직접입력",F116)))</formula>
    </cfRule>
  </conditionalFormatting>
  <conditionalFormatting sqref="F120:G122">
    <cfRule type="containsText" dxfId="504" priority="176" operator="containsText" text="직접입력">
      <formula>NOT(ISERROR(SEARCH("직접입력",F120)))</formula>
    </cfRule>
  </conditionalFormatting>
  <conditionalFormatting sqref="F124:G126">
    <cfRule type="containsText" dxfId="503" priority="175" operator="containsText" text="직접입력">
      <formula>NOT(ISERROR(SEARCH("직접입력",F124)))</formula>
    </cfRule>
  </conditionalFormatting>
  <conditionalFormatting sqref="K12:K14">
    <cfRule type="containsText" dxfId="502" priority="174" operator="containsText" text="부기명 입력">
      <formula>NOT(ISERROR(SEARCH("부기명 입력",K12)))</formula>
    </cfRule>
  </conditionalFormatting>
  <conditionalFormatting sqref="K12:K14">
    <cfRule type="containsText" dxfId="501" priority="173" operator="containsText" text="금액입력">
      <formula>NOT(ISERROR(SEARCH("금액입력",K12)))</formula>
    </cfRule>
  </conditionalFormatting>
  <conditionalFormatting sqref="L12:L14">
    <cfRule type="containsText" dxfId="500" priority="172" operator="containsText" text="금액입력">
      <formula>NOT(ISERROR(SEARCH("금액입력",L12)))</formula>
    </cfRule>
  </conditionalFormatting>
  <conditionalFormatting sqref="K12:K14">
    <cfRule type="containsText" dxfId="499" priority="171" operator="containsText" text="부기명 입력">
      <formula>NOT(ISERROR(SEARCH("부기명 입력",K12)))</formula>
    </cfRule>
  </conditionalFormatting>
  <conditionalFormatting sqref="K12:K14">
    <cfRule type="containsText" dxfId="498" priority="170" operator="containsText" text="금액입력">
      <formula>NOT(ISERROR(SEARCH("금액입력",K12)))</formula>
    </cfRule>
  </conditionalFormatting>
  <conditionalFormatting sqref="L12:L14">
    <cfRule type="containsText" dxfId="497" priority="169" operator="containsText" text="금액입력">
      <formula>NOT(ISERROR(SEARCH("금액입력",L12)))</formula>
    </cfRule>
  </conditionalFormatting>
  <conditionalFormatting sqref="K16:K18">
    <cfRule type="containsText" dxfId="496" priority="168" operator="containsText" text="부기명 입력">
      <formula>NOT(ISERROR(SEARCH("부기명 입력",K16)))</formula>
    </cfRule>
  </conditionalFormatting>
  <conditionalFormatting sqref="K16:K18">
    <cfRule type="containsText" dxfId="495" priority="167" operator="containsText" text="금액입력">
      <formula>NOT(ISERROR(SEARCH("금액입력",K16)))</formula>
    </cfRule>
  </conditionalFormatting>
  <conditionalFormatting sqref="L16:L18">
    <cfRule type="containsText" dxfId="494" priority="166" operator="containsText" text="금액입력">
      <formula>NOT(ISERROR(SEARCH("금액입력",L16)))</formula>
    </cfRule>
  </conditionalFormatting>
  <conditionalFormatting sqref="K16:K18">
    <cfRule type="containsText" dxfId="493" priority="165" operator="containsText" text="부기명 입력">
      <formula>NOT(ISERROR(SEARCH("부기명 입력",K16)))</formula>
    </cfRule>
  </conditionalFormatting>
  <conditionalFormatting sqref="K16:K18">
    <cfRule type="containsText" dxfId="492" priority="164" operator="containsText" text="금액입력">
      <formula>NOT(ISERROR(SEARCH("금액입력",K16)))</formula>
    </cfRule>
  </conditionalFormatting>
  <conditionalFormatting sqref="L16:L18">
    <cfRule type="containsText" dxfId="491" priority="163" operator="containsText" text="금액입력">
      <formula>NOT(ISERROR(SEARCH("금액입력",L16)))</formula>
    </cfRule>
  </conditionalFormatting>
  <conditionalFormatting sqref="K20:K22">
    <cfRule type="containsText" dxfId="490" priority="162" operator="containsText" text="부기명 입력">
      <formula>NOT(ISERROR(SEARCH("부기명 입력",K20)))</formula>
    </cfRule>
  </conditionalFormatting>
  <conditionalFormatting sqref="K20:K22">
    <cfRule type="containsText" dxfId="489" priority="161" operator="containsText" text="금액입력">
      <formula>NOT(ISERROR(SEARCH("금액입력",K20)))</formula>
    </cfRule>
  </conditionalFormatting>
  <conditionalFormatting sqref="L20:L22">
    <cfRule type="containsText" dxfId="488" priority="160" operator="containsText" text="금액입력">
      <formula>NOT(ISERROR(SEARCH("금액입력",L20)))</formula>
    </cfRule>
  </conditionalFormatting>
  <conditionalFormatting sqref="K20:K22">
    <cfRule type="containsText" dxfId="487" priority="159" operator="containsText" text="부기명 입력">
      <formula>NOT(ISERROR(SEARCH("부기명 입력",K20)))</formula>
    </cfRule>
  </conditionalFormatting>
  <conditionalFormatting sqref="K20:K22">
    <cfRule type="containsText" dxfId="486" priority="158" operator="containsText" text="금액입력">
      <formula>NOT(ISERROR(SEARCH("금액입력",K20)))</formula>
    </cfRule>
  </conditionalFormatting>
  <conditionalFormatting sqref="L20:L22">
    <cfRule type="containsText" dxfId="485" priority="157" operator="containsText" text="금액입력">
      <formula>NOT(ISERROR(SEARCH("금액입력",L20)))</formula>
    </cfRule>
  </conditionalFormatting>
  <conditionalFormatting sqref="K24:K26">
    <cfRule type="containsText" dxfId="484" priority="156" operator="containsText" text="부기명 입력">
      <formula>NOT(ISERROR(SEARCH("부기명 입력",K24)))</formula>
    </cfRule>
  </conditionalFormatting>
  <conditionalFormatting sqref="K24:K26">
    <cfRule type="containsText" dxfId="483" priority="155" operator="containsText" text="금액입력">
      <formula>NOT(ISERROR(SEARCH("금액입력",K24)))</formula>
    </cfRule>
  </conditionalFormatting>
  <conditionalFormatting sqref="L24:L26">
    <cfRule type="containsText" dxfId="482" priority="154" operator="containsText" text="금액입력">
      <formula>NOT(ISERROR(SEARCH("금액입력",L24)))</formula>
    </cfRule>
  </conditionalFormatting>
  <conditionalFormatting sqref="K24:K26">
    <cfRule type="containsText" dxfId="481" priority="153" operator="containsText" text="부기명 입력">
      <formula>NOT(ISERROR(SEARCH("부기명 입력",K24)))</formula>
    </cfRule>
  </conditionalFormatting>
  <conditionalFormatting sqref="K24:K26">
    <cfRule type="containsText" dxfId="480" priority="152" operator="containsText" text="금액입력">
      <formula>NOT(ISERROR(SEARCH("금액입력",K24)))</formula>
    </cfRule>
  </conditionalFormatting>
  <conditionalFormatting sqref="L24:L26">
    <cfRule type="containsText" dxfId="479" priority="151" operator="containsText" text="금액입력">
      <formula>NOT(ISERROR(SEARCH("금액입력",L24)))</formula>
    </cfRule>
  </conditionalFormatting>
  <conditionalFormatting sqref="K28:K30">
    <cfRule type="containsText" dxfId="478" priority="150" operator="containsText" text="부기명 입력">
      <formula>NOT(ISERROR(SEARCH("부기명 입력",K28)))</formula>
    </cfRule>
  </conditionalFormatting>
  <conditionalFormatting sqref="K28:K30">
    <cfRule type="containsText" dxfId="477" priority="149" operator="containsText" text="금액입력">
      <formula>NOT(ISERROR(SEARCH("금액입력",K28)))</formula>
    </cfRule>
  </conditionalFormatting>
  <conditionalFormatting sqref="L28:L30">
    <cfRule type="containsText" dxfId="476" priority="148" operator="containsText" text="금액입력">
      <formula>NOT(ISERROR(SEARCH("금액입력",L28)))</formula>
    </cfRule>
  </conditionalFormatting>
  <conditionalFormatting sqref="K28:K30">
    <cfRule type="containsText" dxfId="475" priority="147" operator="containsText" text="부기명 입력">
      <formula>NOT(ISERROR(SEARCH("부기명 입력",K28)))</formula>
    </cfRule>
  </conditionalFormatting>
  <conditionalFormatting sqref="K28:K30">
    <cfRule type="containsText" dxfId="474" priority="146" operator="containsText" text="금액입력">
      <formula>NOT(ISERROR(SEARCH("금액입력",K28)))</formula>
    </cfRule>
  </conditionalFormatting>
  <conditionalFormatting sqref="L28:L30">
    <cfRule type="containsText" dxfId="473" priority="145" operator="containsText" text="금액입력">
      <formula>NOT(ISERROR(SEARCH("금액입력",L28)))</formula>
    </cfRule>
  </conditionalFormatting>
  <conditionalFormatting sqref="K32:K34">
    <cfRule type="containsText" dxfId="472" priority="144" operator="containsText" text="부기명 입력">
      <formula>NOT(ISERROR(SEARCH("부기명 입력",K32)))</formula>
    </cfRule>
  </conditionalFormatting>
  <conditionalFormatting sqref="K32:K34">
    <cfRule type="containsText" dxfId="471" priority="143" operator="containsText" text="금액입력">
      <formula>NOT(ISERROR(SEARCH("금액입력",K32)))</formula>
    </cfRule>
  </conditionalFormatting>
  <conditionalFormatting sqref="L32:L34">
    <cfRule type="containsText" dxfId="470" priority="142" operator="containsText" text="금액입력">
      <formula>NOT(ISERROR(SEARCH("금액입력",L32)))</formula>
    </cfRule>
  </conditionalFormatting>
  <conditionalFormatting sqref="K32:K34">
    <cfRule type="containsText" dxfId="469" priority="141" operator="containsText" text="부기명 입력">
      <formula>NOT(ISERROR(SEARCH("부기명 입력",K32)))</formula>
    </cfRule>
  </conditionalFormatting>
  <conditionalFormatting sqref="K32:K34">
    <cfRule type="containsText" dxfId="468" priority="140" operator="containsText" text="금액입력">
      <formula>NOT(ISERROR(SEARCH("금액입력",K32)))</formula>
    </cfRule>
  </conditionalFormatting>
  <conditionalFormatting sqref="L32:L34">
    <cfRule type="containsText" dxfId="467" priority="139" operator="containsText" text="금액입력">
      <formula>NOT(ISERROR(SEARCH("금액입력",L32)))</formula>
    </cfRule>
  </conditionalFormatting>
  <conditionalFormatting sqref="K36:K38">
    <cfRule type="containsText" dxfId="466" priority="138" operator="containsText" text="부기명 입력">
      <formula>NOT(ISERROR(SEARCH("부기명 입력",K36)))</formula>
    </cfRule>
  </conditionalFormatting>
  <conditionalFormatting sqref="K36:K38">
    <cfRule type="containsText" dxfId="465" priority="137" operator="containsText" text="금액입력">
      <formula>NOT(ISERROR(SEARCH("금액입력",K36)))</formula>
    </cfRule>
  </conditionalFormatting>
  <conditionalFormatting sqref="L36:L38">
    <cfRule type="containsText" dxfId="464" priority="136" operator="containsText" text="금액입력">
      <formula>NOT(ISERROR(SEARCH("금액입력",L36)))</formula>
    </cfRule>
  </conditionalFormatting>
  <conditionalFormatting sqref="K36:K38">
    <cfRule type="containsText" dxfId="463" priority="135" operator="containsText" text="부기명 입력">
      <formula>NOT(ISERROR(SEARCH("부기명 입력",K36)))</formula>
    </cfRule>
  </conditionalFormatting>
  <conditionalFormatting sqref="K36:K38">
    <cfRule type="containsText" dxfId="462" priority="134" operator="containsText" text="금액입력">
      <formula>NOT(ISERROR(SEARCH("금액입력",K36)))</formula>
    </cfRule>
  </conditionalFormatting>
  <conditionalFormatting sqref="L36:L38">
    <cfRule type="containsText" dxfId="461" priority="133" operator="containsText" text="금액입력">
      <formula>NOT(ISERROR(SEARCH("금액입력",L36)))</formula>
    </cfRule>
  </conditionalFormatting>
  <conditionalFormatting sqref="K40:K42">
    <cfRule type="containsText" dxfId="460" priority="132" operator="containsText" text="부기명 입력">
      <formula>NOT(ISERROR(SEARCH("부기명 입력",K40)))</formula>
    </cfRule>
  </conditionalFormatting>
  <conditionalFormatting sqref="K40:K42">
    <cfRule type="containsText" dxfId="459" priority="131" operator="containsText" text="금액입력">
      <formula>NOT(ISERROR(SEARCH("금액입력",K40)))</formula>
    </cfRule>
  </conditionalFormatting>
  <conditionalFormatting sqref="L40:L42">
    <cfRule type="containsText" dxfId="458" priority="130" operator="containsText" text="금액입력">
      <formula>NOT(ISERROR(SEARCH("금액입력",L40)))</formula>
    </cfRule>
  </conditionalFormatting>
  <conditionalFormatting sqref="K40:K42">
    <cfRule type="containsText" dxfId="457" priority="129" operator="containsText" text="부기명 입력">
      <formula>NOT(ISERROR(SEARCH("부기명 입력",K40)))</formula>
    </cfRule>
  </conditionalFormatting>
  <conditionalFormatting sqref="K40:K42">
    <cfRule type="containsText" dxfId="456" priority="128" operator="containsText" text="금액입력">
      <formula>NOT(ISERROR(SEARCH("금액입력",K40)))</formula>
    </cfRule>
  </conditionalFormatting>
  <conditionalFormatting sqref="L40:L42">
    <cfRule type="containsText" dxfId="455" priority="127" operator="containsText" text="금액입력">
      <formula>NOT(ISERROR(SEARCH("금액입력",L40)))</formula>
    </cfRule>
  </conditionalFormatting>
  <conditionalFormatting sqref="K44:K46">
    <cfRule type="containsText" dxfId="454" priority="126" operator="containsText" text="부기명 입력">
      <formula>NOT(ISERROR(SEARCH("부기명 입력",K44)))</formula>
    </cfRule>
  </conditionalFormatting>
  <conditionalFormatting sqref="K44:K46">
    <cfRule type="containsText" dxfId="453" priority="125" operator="containsText" text="금액입력">
      <formula>NOT(ISERROR(SEARCH("금액입력",K44)))</formula>
    </cfRule>
  </conditionalFormatting>
  <conditionalFormatting sqref="L44:L46">
    <cfRule type="containsText" dxfId="452" priority="124" operator="containsText" text="금액입력">
      <formula>NOT(ISERROR(SEARCH("금액입력",L44)))</formula>
    </cfRule>
  </conditionalFormatting>
  <conditionalFormatting sqref="K44:K46">
    <cfRule type="containsText" dxfId="451" priority="123" operator="containsText" text="부기명 입력">
      <formula>NOT(ISERROR(SEARCH("부기명 입력",K44)))</formula>
    </cfRule>
  </conditionalFormatting>
  <conditionalFormatting sqref="K44:K46">
    <cfRule type="containsText" dxfId="450" priority="122" operator="containsText" text="금액입력">
      <formula>NOT(ISERROR(SEARCH("금액입력",K44)))</formula>
    </cfRule>
  </conditionalFormatting>
  <conditionalFormatting sqref="L44:L46">
    <cfRule type="containsText" dxfId="449" priority="121" operator="containsText" text="금액입력">
      <formula>NOT(ISERROR(SEARCH("금액입력",L44)))</formula>
    </cfRule>
  </conditionalFormatting>
  <conditionalFormatting sqref="K48:K50">
    <cfRule type="containsText" dxfId="448" priority="120" operator="containsText" text="부기명 입력">
      <formula>NOT(ISERROR(SEARCH("부기명 입력",K48)))</formula>
    </cfRule>
  </conditionalFormatting>
  <conditionalFormatting sqref="K48:K50">
    <cfRule type="containsText" dxfId="447" priority="119" operator="containsText" text="금액입력">
      <formula>NOT(ISERROR(SEARCH("금액입력",K48)))</formula>
    </cfRule>
  </conditionalFormatting>
  <conditionalFormatting sqref="L48:L50">
    <cfRule type="containsText" dxfId="446" priority="118" operator="containsText" text="금액입력">
      <formula>NOT(ISERROR(SEARCH("금액입력",L48)))</formula>
    </cfRule>
  </conditionalFormatting>
  <conditionalFormatting sqref="K48:K50">
    <cfRule type="containsText" dxfId="445" priority="117" operator="containsText" text="부기명 입력">
      <formula>NOT(ISERROR(SEARCH("부기명 입력",K48)))</formula>
    </cfRule>
  </conditionalFormatting>
  <conditionalFormatting sqref="K48:K50">
    <cfRule type="containsText" dxfId="444" priority="116" operator="containsText" text="금액입력">
      <formula>NOT(ISERROR(SEARCH("금액입력",K48)))</formula>
    </cfRule>
  </conditionalFormatting>
  <conditionalFormatting sqref="L48:L50">
    <cfRule type="containsText" dxfId="443" priority="115" operator="containsText" text="금액입력">
      <formula>NOT(ISERROR(SEARCH("금액입력",L48)))</formula>
    </cfRule>
  </conditionalFormatting>
  <conditionalFormatting sqref="K52:K54">
    <cfRule type="containsText" dxfId="442" priority="114" operator="containsText" text="부기명 입력">
      <formula>NOT(ISERROR(SEARCH("부기명 입력",K52)))</formula>
    </cfRule>
  </conditionalFormatting>
  <conditionalFormatting sqref="K52:K54">
    <cfRule type="containsText" dxfId="441" priority="113" operator="containsText" text="금액입력">
      <formula>NOT(ISERROR(SEARCH("금액입력",K52)))</formula>
    </cfRule>
  </conditionalFormatting>
  <conditionalFormatting sqref="L52:L54">
    <cfRule type="containsText" dxfId="440" priority="112" operator="containsText" text="금액입력">
      <formula>NOT(ISERROR(SEARCH("금액입력",L52)))</formula>
    </cfRule>
  </conditionalFormatting>
  <conditionalFormatting sqref="K52:K54">
    <cfRule type="containsText" dxfId="439" priority="111" operator="containsText" text="부기명 입력">
      <formula>NOT(ISERROR(SEARCH("부기명 입력",K52)))</formula>
    </cfRule>
  </conditionalFormatting>
  <conditionalFormatting sqref="K52:K54">
    <cfRule type="containsText" dxfId="438" priority="110" operator="containsText" text="금액입력">
      <formula>NOT(ISERROR(SEARCH("금액입력",K52)))</formula>
    </cfRule>
  </conditionalFormatting>
  <conditionalFormatting sqref="L52:L54">
    <cfRule type="containsText" dxfId="437" priority="109" operator="containsText" text="금액입력">
      <formula>NOT(ISERROR(SEARCH("금액입력",L52)))</formula>
    </cfRule>
  </conditionalFormatting>
  <conditionalFormatting sqref="K56:K58">
    <cfRule type="containsText" dxfId="436" priority="108" operator="containsText" text="부기명 입력">
      <formula>NOT(ISERROR(SEARCH("부기명 입력",K56)))</formula>
    </cfRule>
  </conditionalFormatting>
  <conditionalFormatting sqref="K56:K58">
    <cfRule type="containsText" dxfId="435" priority="107" operator="containsText" text="금액입력">
      <formula>NOT(ISERROR(SEARCH("금액입력",K56)))</formula>
    </cfRule>
  </conditionalFormatting>
  <conditionalFormatting sqref="L56:L58">
    <cfRule type="containsText" dxfId="434" priority="106" operator="containsText" text="금액입력">
      <formula>NOT(ISERROR(SEARCH("금액입력",L56)))</formula>
    </cfRule>
  </conditionalFormatting>
  <conditionalFormatting sqref="K56:K58">
    <cfRule type="containsText" dxfId="433" priority="105" operator="containsText" text="부기명 입력">
      <formula>NOT(ISERROR(SEARCH("부기명 입력",K56)))</formula>
    </cfRule>
  </conditionalFormatting>
  <conditionalFormatting sqref="K56:K58">
    <cfRule type="containsText" dxfId="432" priority="104" operator="containsText" text="금액입력">
      <formula>NOT(ISERROR(SEARCH("금액입력",K56)))</formula>
    </cfRule>
  </conditionalFormatting>
  <conditionalFormatting sqref="L56:L58">
    <cfRule type="containsText" dxfId="431" priority="103" operator="containsText" text="금액입력">
      <formula>NOT(ISERROR(SEARCH("금액입력",L56)))</formula>
    </cfRule>
  </conditionalFormatting>
  <conditionalFormatting sqref="K60:K62">
    <cfRule type="containsText" dxfId="430" priority="102" operator="containsText" text="부기명 입력">
      <formula>NOT(ISERROR(SEARCH("부기명 입력",K60)))</formula>
    </cfRule>
  </conditionalFormatting>
  <conditionalFormatting sqref="K60:K62">
    <cfRule type="containsText" dxfId="429" priority="101" operator="containsText" text="금액입력">
      <formula>NOT(ISERROR(SEARCH("금액입력",K60)))</formula>
    </cfRule>
  </conditionalFormatting>
  <conditionalFormatting sqref="L60:L62">
    <cfRule type="containsText" dxfId="428" priority="100" operator="containsText" text="금액입력">
      <formula>NOT(ISERROR(SEARCH("금액입력",L60)))</formula>
    </cfRule>
  </conditionalFormatting>
  <conditionalFormatting sqref="K60:K62">
    <cfRule type="containsText" dxfId="427" priority="99" operator="containsText" text="부기명 입력">
      <formula>NOT(ISERROR(SEARCH("부기명 입력",K60)))</formula>
    </cfRule>
  </conditionalFormatting>
  <conditionalFormatting sqref="K60:K62">
    <cfRule type="containsText" dxfId="426" priority="98" operator="containsText" text="금액입력">
      <formula>NOT(ISERROR(SEARCH("금액입력",K60)))</formula>
    </cfRule>
  </conditionalFormatting>
  <conditionalFormatting sqref="L60:L62">
    <cfRule type="containsText" dxfId="425" priority="97" operator="containsText" text="금액입력">
      <formula>NOT(ISERROR(SEARCH("금액입력",L60)))</formula>
    </cfRule>
  </conditionalFormatting>
  <conditionalFormatting sqref="K64:K66">
    <cfRule type="containsText" dxfId="424" priority="96" operator="containsText" text="부기명 입력">
      <formula>NOT(ISERROR(SEARCH("부기명 입력",K64)))</formula>
    </cfRule>
  </conditionalFormatting>
  <conditionalFormatting sqref="K64:K66">
    <cfRule type="containsText" dxfId="423" priority="95" operator="containsText" text="금액입력">
      <formula>NOT(ISERROR(SEARCH("금액입력",K64)))</formula>
    </cfRule>
  </conditionalFormatting>
  <conditionalFormatting sqref="L64:L66">
    <cfRule type="containsText" dxfId="422" priority="94" operator="containsText" text="금액입력">
      <formula>NOT(ISERROR(SEARCH("금액입력",L64)))</formula>
    </cfRule>
  </conditionalFormatting>
  <conditionalFormatting sqref="K64:K66">
    <cfRule type="containsText" dxfId="421" priority="93" operator="containsText" text="부기명 입력">
      <formula>NOT(ISERROR(SEARCH("부기명 입력",K64)))</formula>
    </cfRule>
  </conditionalFormatting>
  <conditionalFormatting sqref="K64:K66">
    <cfRule type="containsText" dxfId="420" priority="92" operator="containsText" text="금액입력">
      <formula>NOT(ISERROR(SEARCH("금액입력",K64)))</formula>
    </cfRule>
  </conditionalFormatting>
  <conditionalFormatting sqref="L64:L66">
    <cfRule type="containsText" dxfId="419" priority="91" operator="containsText" text="금액입력">
      <formula>NOT(ISERROR(SEARCH("금액입력",L64)))</formula>
    </cfRule>
  </conditionalFormatting>
  <conditionalFormatting sqref="K68:K70">
    <cfRule type="containsText" dxfId="418" priority="90" operator="containsText" text="부기명 입력">
      <formula>NOT(ISERROR(SEARCH("부기명 입력",K68)))</formula>
    </cfRule>
  </conditionalFormatting>
  <conditionalFormatting sqref="K68:K70">
    <cfRule type="containsText" dxfId="417" priority="89" operator="containsText" text="금액입력">
      <formula>NOT(ISERROR(SEARCH("금액입력",K68)))</formula>
    </cfRule>
  </conditionalFormatting>
  <conditionalFormatting sqref="L68:L70">
    <cfRule type="containsText" dxfId="416" priority="88" operator="containsText" text="금액입력">
      <formula>NOT(ISERROR(SEARCH("금액입력",L68)))</formula>
    </cfRule>
  </conditionalFormatting>
  <conditionalFormatting sqref="K68:K70">
    <cfRule type="containsText" dxfId="415" priority="87" operator="containsText" text="부기명 입력">
      <formula>NOT(ISERROR(SEARCH("부기명 입력",K68)))</formula>
    </cfRule>
  </conditionalFormatting>
  <conditionalFormatting sqref="K68:K70">
    <cfRule type="containsText" dxfId="414" priority="86" operator="containsText" text="금액입력">
      <formula>NOT(ISERROR(SEARCH("금액입력",K68)))</formula>
    </cfRule>
  </conditionalFormatting>
  <conditionalFormatting sqref="L68:L70">
    <cfRule type="containsText" dxfId="413" priority="85" operator="containsText" text="금액입력">
      <formula>NOT(ISERROR(SEARCH("금액입력",L68)))</formula>
    </cfRule>
  </conditionalFormatting>
  <conditionalFormatting sqref="K72:K74">
    <cfRule type="containsText" dxfId="412" priority="84" operator="containsText" text="부기명 입력">
      <formula>NOT(ISERROR(SEARCH("부기명 입력",K72)))</formula>
    </cfRule>
  </conditionalFormatting>
  <conditionalFormatting sqref="K72:K74">
    <cfRule type="containsText" dxfId="411" priority="83" operator="containsText" text="금액입력">
      <formula>NOT(ISERROR(SEARCH("금액입력",K72)))</formula>
    </cfRule>
  </conditionalFormatting>
  <conditionalFormatting sqref="L72:L74">
    <cfRule type="containsText" dxfId="410" priority="82" operator="containsText" text="금액입력">
      <formula>NOT(ISERROR(SEARCH("금액입력",L72)))</formula>
    </cfRule>
  </conditionalFormatting>
  <conditionalFormatting sqref="K72:K74">
    <cfRule type="containsText" dxfId="409" priority="81" operator="containsText" text="부기명 입력">
      <formula>NOT(ISERROR(SEARCH("부기명 입력",K72)))</formula>
    </cfRule>
  </conditionalFormatting>
  <conditionalFormatting sqref="K72:K74">
    <cfRule type="containsText" dxfId="408" priority="80" operator="containsText" text="금액입력">
      <formula>NOT(ISERROR(SEARCH("금액입력",K72)))</formula>
    </cfRule>
  </conditionalFormatting>
  <conditionalFormatting sqref="L72:L74">
    <cfRule type="containsText" dxfId="407" priority="79" operator="containsText" text="금액입력">
      <formula>NOT(ISERROR(SEARCH("금액입력",L72)))</formula>
    </cfRule>
  </conditionalFormatting>
  <conditionalFormatting sqref="K76:K78">
    <cfRule type="containsText" dxfId="406" priority="78" operator="containsText" text="부기명 입력">
      <formula>NOT(ISERROR(SEARCH("부기명 입력",K76)))</formula>
    </cfRule>
  </conditionalFormatting>
  <conditionalFormatting sqref="K76:K78">
    <cfRule type="containsText" dxfId="405" priority="77" operator="containsText" text="금액입력">
      <formula>NOT(ISERROR(SEARCH("금액입력",K76)))</formula>
    </cfRule>
  </conditionalFormatting>
  <conditionalFormatting sqref="L76:L78">
    <cfRule type="containsText" dxfId="404" priority="76" operator="containsText" text="금액입력">
      <formula>NOT(ISERROR(SEARCH("금액입력",L76)))</formula>
    </cfRule>
  </conditionalFormatting>
  <conditionalFormatting sqref="K76:K78">
    <cfRule type="containsText" dxfId="403" priority="75" operator="containsText" text="부기명 입력">
      <formula>NOT(ISERROR(SEARCH("부기명 입력",K76)))</formula>
    </cfRule>
  </conditionalFormatting>
  <conditionalFormatting sqref="K76:K78">
    <cfRule type="containsText" dxfId="402" priority="74" operator="containsText" text="금액입력">
      <formula>NOT(ISERROR(SEARCH("금액입력",K76)))</formula>
    </cfRule>
  </conditionalFormatting>
  <conditionalFormatting sqref="L76:L78">
    <cfRule type="containsText" dxfId="401" priority="73" operator="containsText" text="금액입력">
      <formula>NOT(ISERROR(SEARCH("금액입력",L76)))</formula>
    </cfRule>
  </conditionalFormatting>
  <conditionalFormatting sqref="K80:K82">
    <cfRule type="containsText" dxfId="400" priority="72" operator="containsText" text="부기명 입력">
      <formula>NOT(ISERROR(SEARCH("부기명 입력",K80)))</formula>
    </cfRule>
  </conditionalFormatting>
  <conditionalFormatting sqref="K80:K82">
    <cfRule type="containsText" dxfId="399" priority="71" operator="containsText" text="금액입력">
      <formula>NOT(ISERROR(SEARCH("금액입력",K80)))</formula>
    </cfRule>
  </conditionalFormatting>
  <conditionalFormatting sqref="L80:L82">
    <cfRule type="containsText" dxfId="398" priority="70" operator="containsText" text="금액입력">
      <formula>NOT(ISERROR(SEARCH("금액입력",L80)))</formula>
    </cfRule>
  </conditionalFormatting>
  <conditionalFormatting sqref="K80:K82">
    <cfRule type="containsText" dxfId="397" priority="69" operator="containsText" text="부기명 입력">
      <formula>NOT(ISERROR(SEARCH("부기명 입력",K80)))</formula>
    </cfRule>
  </conditionalFormatting>
  <conditionalFormatting sqref="K80:K82">
    <cfRule type="containsText" dxfId="396" priority="68" operator="containsText" text="금액입력">
      <formula>NOT(ISERROR(SEARCH("금액입력",K80)))</formula>
    </cfRule>
  </conditionalFormatting>
  <conditionalFormatting sqref="L80:L82">
    <cfRule type="containsText" dxfId="395" priority="67" operator="containsText" text="금액입력">
      <formula>NOT(ISERROR(SEARCH("금액입력",L80)))</formula>
    </cfRule>
  </conditionalFormatting>
  <conditionalFormatting sqref="K84:K86">
    <cfRule type="containsText" dxfId="394" priority="66" operator="containsText" text="부기명 입력">
      <formula>NOT(ISERROR(SEARCH("부기명 입력",K84)))</formula>
    </cfRule>
  </conditionalFormatting>
  <conditionalFormatting sqref="K84:K86">
    <cfRule type="containsText" dxfId="393" priority="65" operator="containsText" text="금액입력">
      <formula>NOT(ISERROR(SEARCH("금액입력",K84)))</formula>
    </cfRule>
  </conditionalFormatting>
  <conditionalFormatting sqref="L84:L86">
    <cfRule type="containsText" dxfId="392" priority="64" operator="containsText" text="금액입력">
      <formula>NOT(ISERROR(SEARCH("금액입력",L84)))</formula>
    </cfRule>
  </conditionalFormatting>
  <conditionalFormatting sqref="K84:K86">
    <cfRule type="containsText" dxfId="391" priority="63" operator="containsText" text="부기명 입력">
      <formula>NOT(ISERROR(SEARCH("부기명 입력",K84)))</formula>
    </cfRule>
  </conditionalFormatting>
  <conditionalFormatting sqref="K84:K86">
    <cfRule type="containsText" dxfId="390" priority="62" operator="containsText" text="금액입력">
      <formula>NOT(ISERROR(SEARCH("금액입력",K84)))</formula>
    </cfRule>
  </conditionalFormatting>
  <conditionalFormatting sqref="L84:L86">
    <cfRule type="containsText" dxfId="389" priority="61" operator="containsText" text="금액입력">
      <formula>NOT(ISERROR(SEARCH("금액입력",L84)))</formula>
    </cfRule>
  </conditionalFormatting>
  <conditionalFormatting sqref="K88:K90">
    <cfRule type="containsText" dxfId="388" priority="60" operator="containsText" text="부기명 입력">
      <formula>NOT(ISERROR(SEARCH("부기명 입력",K88)))</formula>
    </cfRule>
  </conditionalFormatting>
  <conditionalFormatting sqref="K88:K90">
    <cfRule type="containsText" dxfId="387" priority="59" operator="containsText" text="금액입력">
      <formula>NOT(ISERROR(SEARCH("금액입력",K88)))</formula>
    </cfRule>
  </conditionalFormatting>
  <conditionalFormatting sqref="L88:L90">
    <cfRule type="containsText" dxfId="386" priority="58" operator="containsText" text="금액입력">
      <formula>NOT(ISERROR(SEARCH("금액입력",L88)))</formula>
    </cfRule>
  </conditionalFormatting>
  <conditionalFormatting sqref="K88:K90">
    <cfRule type="containsText" dxfId="385" priority="57" operator="containsText" text="부기명 입력">
      <formula>NOT(ISERROR(SEARCH("부기명 입력",K88)))</formula>
    </cfRule>
  </conditionalFormatting>
  <conditionalFormatting sqref="K88:K90">
    <cfRule type="containsText" dxfId="384" priority="56" operator="containsText" text="금액입력">
      <formula>NOT(ISERROR(SEARCH("금액입력",K88)))</formula>
    </cfRule>
  </conditionalFormatting>
  <conditionalFormatting sqref="L88:L90">
    <cfRule type="containsText" dxfId="383" priority="55" operator="containsText" text="금액입력">
      <formula>NOT(ISERROR(SEARCH("금액입력",L88)))</formula>
    </cfRule>
  </conditionalFormatting>
  <conditionalFormatting sqref="K92:K94">
    <cfRule type="containsText" dxfId="382" priority="54" operator="containsText" text="부기명 입력">
      <formula>NOT(ISERROR(SEARCH("부기명 입력",K92)))</formula>
    </cfRule>
  </conditionalFormatting>
  <conditionalFormatting sqref="K92:K94">
    <cfRule type="containsText" dxfId="381" priority="53" operator="containsText" text="금액입력">
      <formula>NOT(ISERROR(SEARCH("금액입력",K92)))</formula>
    </cfRule>
  </conditionalFormatting>
  <conditionalFormatting sqref="L92:L94">
    <cfRule type="containsText" dxfId="380" priority="52" operator="containsText" text="금액입력">
      <formula>NOT(ISERROR(SEARCH("금액입력",L92)))</formula>
    </cfRule>
  </conditionalFormatting>
  <conditionalFormatting sqref="K92:K94">
    <cfRule type="containsText" dxfId="379" priority="51" operator="containsText" text="부기명 입력">
      <formula>NOT(ISERROR(SEARCH("부기명 입력",K92)))</formula>
    </cfRule>
  </conditionalFormatting>
  <conditionalFormatting sqref="K92:K94">
    <cfRule type="containsText" dxfId="378" priority="50" operator="containsText" text="금액입력">
      <formula>NOT(ISERROR(SEARCH("금액입력",K92)))</formula>
    </cfRule>
  </conditionalFormatting>
  <conditionalFormatting sqref="L92:L94">
    <cfRule type="containsText" dxfId="377" priority="49" operator="containsText" text="금액입력">
      <formula>NOT(ISERROR(SEARCH("금액입력",L92)))</formula>
    </cfRule>
  </conditionalFormatting>
  <conditionalFormatting sqref="K96:K98">
    <cfRule type="containsText" dxfId="376" priority="48" operator="containsText" text="부기명 입력">
      <formula>NOT(ISERROR(SEARCH("부기명 입력",K96)))</formula>
    </cfRule>
  </conditionalFormatting>
  <conditionalFormatting sqref="K96:K98">
    <cfRule type="containsText" dxfId="375" priority="47" operator="containsText" text="금액입력">
      <formula>NOT(ISERROR(SEARCH("금액입력",K96)))</formula>
    </cfRule>
  </conditionalFormatting>
  <conditionalFormatting sqref="L96:L98">
    <cfRule type="containsText" dxfId="374" priority="46" operator="containsText" text="금액입력">
      <formula>NOT(ISERROR(SEARCH("금액입력",L96)))</formula>
    </cfRule>
  </conditionalFormatting>
  <conditionalFormatting sqref="K96:K98">
    <cfRule type="containsText" dxfId="373" priority="45" operator="containsText" text="부기명 입력">
      <formula>NOT(ISERROR(SEARCH("부기명 입력",K96)))</formula>
    </cfRule>
  </conditionalFormatting>
  <conditionalFormatting sqref="K96:K98">
    <cfRule type="containsText" dxfId="372" priority="44" operator="containsText" text="금액입력">
      <formula>NOT(ISERROR(SEARCH("금액입력",K96)))</formula>
    </cfRule>
  </conditionalFormatting>
  <conditionalFormatting sqref="L96:L98">
    <cfRule type="containsText" dxfId="371" priority="43" operator="containsText" text="금액입력">
      <formula>NOT(ISERROR(SEARCH("금액입력",L96)))</formula>
    </cfRule>
  </conditionalFormatting>
  <conditionalFormatting sqref="K100:K102">
    <cfRule type="containsText" dxfId="370" priority="42" operator="containsText" text="부기명 입력">
      <formula>NOT(ISERROR(SEARCH("부기명 입력",K100)))</formula>
    </cfRule>
  </conditionalFormatting>
  <conditionalFormatting sqref="K100:K102">
    <cfRule type="containsText" dxfId="369" priority="41" operator="containsText" text="금액입력">
      <formula>NOT(ISERROR(SEARCH("금액입력",K100)))</formula>
    </cfRule>
  </conditionalFormatting>
  <conditionalFormatting sqref="L100:L102">
    <cfRule type="containsText" dxfId="368" priority="40" operator="containsText" text="금액입력">
      <formula>NOT(ISERROR(SEARCH("금액입력",L100)))</formula>
    </cfRule>
  </conditionalFormatting>
  <conditionalFormatting sqref="K100:K102">
    <cfRule type="containsText" dxfId="367" priority="39" operator="containsText" text="부기명 입력">
      <formula>NOT(ISERROR(SEARCH("부기명 입력",K100)))</formula>
    </cfRule>
  </conditionalFormatting>
  <conditionalFormatting sqref="K100:K102">
    <cfRule type="containsText" dxfId="366" priority="38" operator="containsText" text="금액입력">
      <formula>NOT(ISERROR(SEARCH("금액입력",K100)))</formula>
    </cfRule>
  </conditionalFormatting>
  <conditionalFormatting sqref="L100:L102">
    <cfRule type="containsText" dxfId="365" priority="37" operator="containsText" text="금액입력">
      <formula>NOT(ISERROR(SEARCH("금액입력",L100)))</formula>
    </cfRule>
  </conditionalFormatting>
  <conditionalFormatting sqref="K104:K106">
    <cfRule type="containsText" dxfId="364" priority="36" operator="containsText" text="부기명 입력">
      <formula>NOT(ISERROR(SEARCH("부기명 입력",K104)))</formula>
    </cfRule>
  </conditionalFormatting>
  <conditionalFormatting sqref="K104:K106">
    <cfRule type="containsText" dxfId="363" priority="35" operator="containsText" text="금액입력">
      <formula>NOT(ISERROR(SEARCH("금액입력",K104)))</formula>
    </cfRule>
  </conditionalFormatting>
  <conditionalFormatting sqref="L104:L106">
    <cfRule type="containsText" dxfId="362" priority="34" operator="containsText" text="금액입력">
      <formula>NOT(ISERROR(SEARCH("금액입력",L104)))</formula>
    </cfRule>
  </conditionalFormatting>
  <conditionalFormatting sqref="K104:K106">
    <cfRule type="containsText" dxfId="361" priority="33" operator="containsText" text="부기명 입력">
      <formula>NOT(ISERROR(SEARCH("부기명 입력",K104)))</formula>
    </cfRule>
  </conditionalFormatting>
  <conditionalFormatting sqref="K104:K106">
    <cfRule type="containsText" dxfId="360" priority="32" operator="containsText" text="금액입력">
      <formula>NOT(ISERROR(SEARCH("금액입력",K104)))</formula>
    </cfRule>
  </conditionalFormatting>
  <conditionalFormatting sqref="L104:L106">
    <cfRule type="containsText" dxfId="359" priority="31" operator="containsText" text="금액입력">
      <formula>NOT(ISERROR(SEARCH("금액입력",L104)))</formula>
    </cfRule>
  </conditionalFormatting>
  <conditionalFormatting sqref="K108:K110">
    <cfRule type="containsText" dxfId="358" priority="30" operator="containsText" text="부기명 입력">
      <formula>NOT(ISERROR(SEARCH("부기명 입력",K108)))</formula>
    </cfRule>
  </conditionalFormatting>
  <conditionalFormatting sqref="K108:K110">
    <cfRule type="containsText" dxfId="357" priority="29" operator="containsText" text="금액입력">
      <formula>NOT(ISERROR(SEARCH("금액입력",K108)))</formula>
    </cfRule>
  </conditionalFormatting>
  <conditionalFormatting sqref="L108:L110">
    <cfRule type="containsText" dxfId="356" priority="28" operator="containsText" text="금액입력">
      <formula>NOT(ISERROR(SEARCH("금액입력",L108)))</formula>
    </cfRule>
  </conditionalFormatting>
  <conditionalFormatting sqref="K108:K110">
    <cfRule type="containsText" dxfId="355" priority="27" operator="containsText" text="부기명 입력">
      <formula>NOT(ISERROR(SEARCH("부기명 입력",K108)))</formula>
    </cfRule>
  </conditionalFormatting>
  <conditionalFormatting sqref="K108:K110">
    <cfRule type="containsText" dxfId="354" priority="26" operator="containsText" text="금액입력">
      <formula>NOT(ISERROR(SEARCH("금액입력",K108)))</formula>
    </cfRule>
  </conditionalFormatting>
  <conditionalFormatting sqref="L108:L110">
    <cfRule type="containsText" dxfId="353" priority="25" operator="containsText" text="금액입력">
      <formula>NOT(ISERROR(SEARCH("금액입력",L108)))</formula>
    </cfRule>
  </conditionalFormatting>
  <conditionalFormatting sqref="K112:K114">
    <cfRule type="containsText" dxfId="352" priority="24" operator="containsText" text="부기명 입력">
      <formula>NOT(ISERROR(SEARCH("부기명 입력",K112)))</formula>
    </cfRule>
  </conditionalFormatting>
  <conditionalFormatting sqref="K112:K114">
    <cfRule type="containsText" dxfId="351" priority="23" operator="containsText" text="금액입력">
      <formula>NOT(ISERROR(SEARCH("금액입력",K112)))</formula>
    </cfRule>
  </conditionalFormatting>
  <conditionalFormatting sqref="L112:L114">
    <cfRule type="containsText" dxfId="350" priority="22" operator="containsText" text="금액입력">
      <formula>NOT(ISERROR(SEARCH("금액입력",L112)))</formula>
    </cfRule>
  </conditionalFormatting>
  <conditionalFormatting sqref="K112:K114">
    <cfRule type="containsText" dxfId="349" priority="21" operator="containsText" text="부기명 입력">
      <formula>NOT(ISERROR(SEARCH("부기명 입력",K112)))</formula>
    </cfRule>
  </conditionalFormatting>
  <conditionalFormatting sqref="K112:K114">
    <cfRule type="containsText" dxfId="348" priority="20" operator="containsText" text="금액입력">
      <formula>NOT(ISERROR(SEARCH("금액입력",K112)))</formula>
    </cfRule>
  </conditionalFormatting>
  <conditionalFormatting sqref="L112:L114">
    <cfRule type="containsText" dxfId="347" priority="19" operator="containsText" text="금액입력">
      <formula>NOT(ISERROR(SEARCH("금액입력",L112)))</formula>
    </cfRule>
  </conditionalFormatting>
  <conditionalFormatting sqref="K116:K118">
    <cfRule type="containsText" dxfId="346" priority="18" operator="containsText" text="부기명 입력">
      <formula>NOT(ISERROR(SEARCH("부기명 입력",K116)))</formula>
    </cfRule>
  </conditionalFormatting>
  <conditionalFormatting sqref="K116:K118">
    <cfRule type="containsText" dxfId="345" priority="17" operator="containsText" text="금액입력">
      <formula>NOT(ISERROR(SEARCH("금액입력",K116)))</formula>
    </cfRule>
  </conditionalFormatting>
  <conditionalFormatting sqref="L116:L118">
    <cfRule type="containsText" dxfId="344" priority="16" operator="containsText" text="금액입력">
      <formula>NOT(ISERROR(SEARCH("금액입력",L116)))</formula>
    </cfRule>
  </conditionalFormatting>
  <conditionalFormatting sqref="K116:K118">
    <cfRule type="containsText" dxfId="343" priority="15" operator="containsText" text="부기명 입력">
      <formula>NOT(ISERROR(SEARCH("부기명 입력",K116)))</formula>
    </cfRule>
  </conditionalFormatting>
  <conditionalFormatting sqref="K116:K118">
    <cfRule type="containsText" dxfId="342" priority="14" operator="containsText" text="금액입력">
      <formula>NOT(ISERROR(SEARCH("금액입력",K116)))</formula>
    </cfRule>
  </conditionalFormatting>
  <conditionalFormatting sqref="L116:L118">
    <cfRule type="containsText" dxfId="341" priority="13" operator="containsText" text="금액입력">
      <formula>NOT(ISERROR(SEARCH("금액입력",L116)))</formula>
    </cfRule>
  </conditionalFormatting>
  <conditionalFormatting sqref="K120:K122">
    <cfRule type="containsText" dxfId="340" priority="12" operator="containsText" text="부기명 입력">
      <formula>NOT(ISERROR(SEARCH("부기명 입력",K120)))</formula>
    </cfRule>
  </conditionalFormatting>
  <conditionalFormatting sqref="K120:K122">
    <cfRule type="containsText" dxfId="339" priority="11" operator="containsText" text="금액입력">
      <formula>NOT(ISERROR(SEARCH("금액입력",K120)))</formula>
    </cfRule>
  </conditionalFormatting>
  <conditionalFormatting sqref="L120:L122">
    <cfRule type="containsText" dxfId="338" priority="10" operator="containsText" text="금액입력">
      <formula>NOT(ISERROR(SEARCH("금액입력",L120)))</formula>
    </cfRule>
  </conditionalFormatting>
  <conditionalFormatting sqref="K120:K122">
    <cfRule type="containsText" dxfId="337" priority="9" operator="containsText" text="부기명 입력">
      <formula>NOT(ISERROR(SEARCH("부기명 입력",K120)))</formula>
    </cfRule>
  </conditionalFormatting>
  <conditionalFormatting sqref="K120:K122">
    <cfRule type="containsText" dxfId="336" priority="8" operator="containsText" text="금액입력">
      <formula>NOT(ISERROR(SEARCH("금액입력",K120)))</formula>
    </cfRule>
  </conditionalFormatting>
  <conditionalFormatting sqref="L120:L122">
    <cfRule type="containsText" dxfId="335" priority="7" operator="containsText" text="금액입력">
      <formula>NOT(ISERROR(SEARCH("금액입력",L120)))</formula>
    </cfRule>
  </conditionalFormatting>
  <conditionalFormatting sqref="K124:K126">
    <cfRule type="containsText" dxfId="334" priority="6" operator="containsText" text="부기명 입력">
      <formula>NOT(ISERROR(SEARCH("부기명 입력",K124)))</formula>
    </cfRule>
  </conditionalFormatting>
  <conditionalFormatting sqref="K124:K126">
    <cfRule type="containsText" dxfId="333" priority="5" operator="containsText" text="금액입력">
      <formula>NOT(ISERROR(SEARCH("금액입력",K124)))</formula>
    </cfRule>
  </conditionalFormatting>
  <conditionalFormatting sqref="L124:L126">
    <cfRule type="containsText" dxfId="332" priority="4" operator="containsText" text="금액입력">
      <formula>NOT(ISERROR(SEARCH("금액입력",L124)))</formula>
    </cfRule>
  </conditionalFormatting>
  <conditionalFormatting sqref="K124:K126">
    <cfRule type="containsText" dxfId="331" priority="3" operator="containsText" text="부기명 입력">
      <formula>NOT(ISERROR(SEARCH("부기명 입력",K124)))</formula>
    </cfRule>
  </conditionalFormatting>
  <conditionalFormatting sqref="K124:K126">
    <cfRule type="containsText" dxfId="330" priority="2" operator="containsText" text="금액입력">
      <formula>NOT(ISERROR(SEARCH("금액입력",K124)))</formula>
    </cfRule>
  </conditionalFormatting>
  <conditionalFormatting sqref="L124:L126">
    <cfRule type="containsText" dxfId="329" priority="1" operator="containsText" text="금액입력">
      <formula>NOT(ISERROR(SEARCH("금액입력",L124)))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 xr:uid="{00000000-0002-0000-0900-000001000000}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 xr:uid="{00000000-0002-0000-0900-000003000000}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 xr:uid="{00000000-0002-0000-0900-000004000000}">
      <formula1>"동의, 부동의, 미실시"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4:E106 E108:E110 E112:E114 E124:E126" xr:uid="{17D5BD4D-EA7D-46ED-868C-937C73B9D93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activeCell="J14" sqref="J14"/>
      <selection pane="bottomLeft" activeCell="J14" sqref="J14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11" customWidth="1"/>
    <col min="13" max="14" width="25.625" style="411" customWidth="1"/>
    <col min="15" max="18" width="25.625" style="414" customWidth="1"/>
    <col min="19" max="19" width="25.625" style="438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14" customWidth="1"/>
    <col min="30" max="30" width="17.25" style="20" customWidth="1"/>
    <col min="31" max="31" width="3.125" style="20" customWidth="1"/>
    <col min="32" max="33" width="20.625" style="414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19" customFormat="1" ht="93" customHeight="1">
      <c r="A1" s="926" t="s">
        <v>1054</v>
      </c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  <c r="P1" s="926"/>
      <c r="Q1" s="926"/>
      <c r="R1" s="926"/>
      <c r="S1" s="926"/>
      <c r="T1" s="926"/>
      <c r="U1" s="926"/>
      <c r="V1" s="926"/>
      <c r="W1" s="926"/>
      <c r="X1" s="926"/>
      <c r="Y1" s="926"/>
      <c r="Z1" s="926"/>
      <c r="AB1" s="954" t="s">
        <v>1088</v>
      </c>
      <c r="AC1" s="955"/>
      <c r="AD1" s="956"/>
      <c r="AE1"/>
      <c r="AF1" s="957" t="s">
        <v>1088</v>
      </c>
      <c r="AG1" s="958"/>
      <c r="AH1" s="959"/>
      <c r="AI1" s="20"/>
      <c r="AJ1" s="909" t="s">
        <v>1129</v>
      </c>
      <c r="AK1" s="910"/>
      <c r="AL1" s="910"/>
      <c r="AM1" s="910"/>
      <c r="AN1" s="911"/>
    </row>
    <row r="2" spans="1:40" ht="22.5"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505"/>
      <c r="N2" s="505"/>
      <c r="O2" s="456"/>
      <c r="P2" s="433">
        <f t="shared" ref="P2:S3" si="0">SUM(P6:P223)/2</f>
        <v>0</v>
      </c>
      <c r="Q2" s="433">
        <f t="shared" si="0"/>
        <v>0</v>
      </c>
      <c r="R2" s="433">
        <f t="shared" si="0"/>
        <v>0</v>
      </c>
      <c r="S2" s="433">
        <f t="shared" si="0"/>
        <v>0</v>
      </c>
      <c r="T2" s="73"/>
      <c r="U2" s="30"/>
      <c r="V2" s="30"/>
      <c r="W2" s="34"/>
      <c r="X2" s="70"/>
      <c r="Y2" s="154"/>
      <c r="Z2" s="70"/>
      <c r="AB2" s="465" t="s">
        <v>1126</v>
      </c>
      <c r="AC2" s="465" t="s">
        <v>1127</v>
      </c>
      <c r="AD2" s="346"/>
      <c r="AF2" s="465" t="s">
        <v>1126</v>
      </c>
      <c r="AG2" s="465" t="s">
        <v>1127</v>
      </c>
      <c r="AH2" s="346"/>
    </row>
    <row r="3" spans="1:40" ht="39.75" customHeight="1">
      <c r="B3" s="952"/>
      <c r="C3" s="952"/>
      <c r="D3" s="952"/>
      <c r="E3" s="952"/>
      <c r="F3" s="952"/>
      <c r="G3" s="952"/>
      <c r="H3" s="952"/>
      <c r="I3" s="952"/>
      <c r="J3" s="952"/>
      <c r="K3" s="952"/>
      <c r="L3" s="952"/>
      <c r="M3" s="505"/>
      <c r="N3" s="505"/>
      <c r="O3" s="456"/>
      <c r="P3" s="433">
        <f t="shared" si="0"/>
        <v>0</v>
      </c>
      <c r="Q3" s="433">
        <f t="shared" si="0"/>
        <v>0</v>
      </c>
      <c r="R3" s="433">
        <f t="shared" si="0"/>
        <v>0</v>
      </c>
      <c r="S3" s="433">
        <f t="shared" si="0"/>
        <v>0</v>
      </c>
      <c r="T3" s="73"/>
      <c r="U3" s="30"/>
      <c r="V3" s="30"/>
      <c r="W3" s="34"/>
      <c r="X3" s="70"/>
      <c r="Y3" s="154" t="s">
        <v>114</v>
      </c>
      <c r="Z3" s="70" t="s">
        <v>297</v>
      </c>
      <c r="AB3" s="428" t="str">
        <f>IF(AB6='5. 기입'!Z6,"OK","@@")</f>
        <v>OK</v>
      </c>
      <c r="AC3" s="428" t="str">
        <f>IF(AC6='5. 기입'!AA6,"OK","@@")</f>
        <v>OK</v>
      </c>
      <c r="AD3" s="346" t="s">
        <v>297</v>
      </c>
      <c r="AF3" s="428" t="str">
        <f>IF(AF6='5. 기입'!AD6,"OK","@@")</f>
        <v>OK</v>
      </c>
      <c r="AG3" s="428" t="str">
        <f>IF(AG6='5. 기입'!AE6,"OK","@@")</f>
        <v>OK</v>
      </c>
      <c r="AH3" s="346" t="s">
        <v>114</v>
      </c>
      <c r="AJ3" s="967" t="s">
        <v>1077</v>
      </c>
      <c r="AK3" s="967"/>
      <c r="AL3" s="967"/>
      <c r="AM3" s="967"/>
      <c r="AN3" s="967"/>
    </row>
    <row r="4" spans="1:40" s="294" customFormat="1" ht="60" customHeight="1">
      <c r="A4" s="885" t="s">
        <v>184</v>
      </c>
      <c r="B4" s="889" t="s">
        <v>110</v>
      </c>
      <c r="C4" s="889" t="s">
        <v>111</v>
      </c>
      <c r="D4" s="889" t="s">
        <v>112</v>
      </c>
      <c r="E4" s="891" t="s">
        <v>113</v>
      </c>
      <c r="F4" s="891" t="s">
        <v>1117</v>
      </c>
      <c r="G4" s="891" t="s">
        <v>251</v>
      </c>
      <c r="H4" s="885" t="s">
        <v>502</v>
      </c>
      <c r="I4" s="885" t="s">
        <v>269</v>
      </c>
      <c r="J4" s="885" t="s">
        <v>270</v>
      </c>
      <c r="K4" s="934" t="s">
        <v>759</v>
      </c>
      <c r="L4" s="934" t="s">
        <v>504</v>
      </c>
      <c r="M4" s="887" t="s">
        <v>2040</v>
      </c>
      <c r="N4" s="887" t="s">
        <v>1693</v>
      </c>
      <c r="O4" s="887" t="s">
        <v>1109</v>
      </c>
      <c r="P4" s="867" t="s">
        <v>1110</v>
      </c>
      <c r="Q4" s="866" t="s">
        <v>1113</v>
      </c>
      <c r="R4" s="867" t="s">
        <v>1111</v>
      </c>
      <c r="S4" s="866" t="s">
        <v>1112</v>
      </c>
      <c r="T4" s="893" t="s">
        <v>253</v>
      </c>
      <c r="U4" s="866" t="s">
        <v>255</v>
      </c>
      <c r="V4" s="866" t="s">
        <v>254</v>
      </c>
      <c r="W4" s="866" t="s">
        <v>256</v>
      </c>
      <c r="X4" s="893" t="s">
        <v>762</v>
      </c>
      <c r="Y4" s="893" t="s">
        <v>298</v>
      </c>
      <c r="Z4" s="964" t="s">
        <v>115</v>
      </c>
      <c r="AB4" s="935" t="s">
        <v>117</v>
      </c>
      <c r="AC4" s="935"/>
      <c r="AD4" s="935"/>
      <c r="AF4" s="937" t="s">
        <v>121</v>
      </c>
      <c r="AG4" s="937"/>
      <c r="AH4" s="937"/>
      <c r="AJ4" s="963" t="s">
        <v>122</v>
      </c>
      <c r="AK4" s="876" t="s">
        <v>130</v>
      </c>
      <c r="AL4" s="965" t="s">
        <v>1046</v>
      </c>
      <c r="AM4" s="923" t="s">
        <v>116</v>
      </c>
      <c r="AN4" s="876" t="s">
        <v>1049</v>
      </c>
    </row>
    <row r="5" spans="1:40" s="294" customFormat="1" ht="60" customHeight="1">
      <c r="A5" s="885"/>
      <c r="B5" s="889"/>
      <c r="C5" s="889"/>
      <c r="D5" s="889"/>
      <c r="E5" s="891"/>
      <c r="F5" s="891"/>
      <c r="G5" s="891"/>
      <c r="H5" s="885"/>
      <c r="I5" s="885"/>
      <c r="J5" s="885"/>
      <c r="K5" s="934"/>
      <c r="L5" s="934"/>
      <c r="M5" s="888"/>
      <c r="N5" s="888"/>
      <c r="O5" s="888"/>
      <c r="P5" s="869"/>
      <c r="Q5" s="892"/>
      <c r="R5" s="869"/>
      <c r="S5" s="892"/>
      <c r="T5" s="893"/>
      <c r="U5" s="866"/>
      <c r="V5" s="866"/>
      <c r="W5" s="866"/>
      <c r="X5" s="893"/>
      <c r="Y5" s="893"/>
      <c r="Z5" s="934"/>
      <c r="AB5" s="453" t="s">
        <v>118</v>
      </c>
      <c r="AC5" s="453" t="s">
        <v>119</v>
      </c>
      <c r="AD5" s="315" t="s">
        <v>1080</v>
      </c>
      <c r="AF5" s="429" t="s">
        <v>118</v>
      </c>
      <c r="AG5" s="429" t="s">
        <v>119</v>
      </c>
      <c r="AH5" s="341" t="s">
        <v>1080</v>
      </c>
      <c r="AJ5" s="963"/>
      <c r="AK5" s="877"/>
      <c r="AL5" s="966"/>
      <c r="AM5" s="923"/>
      <c r="AN5" s="877"/>
    </row>
    <row r="6" spans="1:40" s="358" customFormat="1" ht="80.099999999999994" customHeight="1">
      <c r="A6" s="392"/>
      <c r="B6" s="151" t="s">
        <v>128</v>
      </c>
      <c r="C6" s="383" t="s">
        <v>191</v>
      </c>
      <c r="D6" s="384"/>
      <c r="E6" s="385"/>
      <c r="F6" s="393"/>
      <c r="G6" s="393"/>
      <c r="H6" s="393"/>
      <c r="I6" s="393"/>
      <c r="J6" s="393"/>
      <c r="K6" s="394" t="s">
        <v>191</v>
      </c>
      <c r="L6" s="401" t="str">
        <f>SUBTOTAL(3,L$7:L$2012)&amp;"건"</f>
        <v>0건</v>
      </c>
      <c r="M6" s="457">
        <f t="shared" ref="M6:N6" si="1">SUBTOTAL(9,M$7:M$2012)</f>
        <v>0</v>
      </c>
      <c r="N6" s="457">
        <f t="shared" si="1"/>
        <v>0</v>
      </c>
      <c r="O6" s="457">
        <f>SUBTOTAL(9,O$7:O$2012)</f>
        <v>0</v>
      </c>
      <c r="P6" s="457">
        <f>SUBTOTAL(9,P$7:P$2012)</f>
        <v>0</v>
      </c>
      <c r="Q6" s="457">
        <f>SUBTOTAL(9,Q$7:Q$2012)</f>
        <v>0</v>
      </c>
      <c r="R6" s="457">
        <f>SUBTOTAL(9,R$7:R$2012)</f>
        <v>0</v>
      </c>
      <c r="S6" s="457">
        <f>SUBTOTAL(9,S$7:S$2012)</f>
        <v>0</v>
      </c>
      <c r="T6" s="393"/>
      <c r="U6" s="395"/>
      <c r="V6" s="396"/>
      <c r="W6" s="392"/>
      <c r="X6" s="397"/>
      <c r="Y6" s="397"/>
      <c r="Z6" s="392"/>
      <c r="AB6" s="457">
        <f>SUBTOTAL(9,AB$7:AB$2012)</f>
        <v>0</v>
      </c>
      <c r="AC6" s="457">
        <f>SUBTOTAL(9,AC$7:AC$2012)</f>
        <v>0</v>
      </c>
      <c r="AD6" s="356" t="str">
        <f>IF(COUNTIF(AD$8:AD$2012,"@@")&gt;0,"@@","OK")</f>
        <v>OK</v>
      </c>
      <c r="AE6" s="389"/>
      <c r="AF6" s="457">
        <f>SUBTOTAL(9,AF$7:AF$1013)</f>
        <v>0</v>
      </c>
      <c r="AG6" s="457">
        <f>SUBTOTAL(9,AG$7:AG$1013)</f>
        <v>0</v>
      </c>
      <c r="AH6" s="356" t="str">
        <f>IF(COUNTIF(AH$8:AH$2012,"@@")&gt;0,"@@","OK")</f>
        <v>OK</v>
      </c>
      <c r="AJ6" s="356"/>
      <c r="AK6" s="150"/>
      <c r="AL6" s="356" t="str">
        <f>IF(COUNTIF(AL$8:AL$2012,"@@")&gt;0,"@@","OK")</f>
        <v>OK</v>
      </c>
      <c r="AM6" s="362"/>
      <c r="AN6" s="356" t="str">
        <f>IF(COUNTIF(AN$8:AN$2012,"@@")&gt;0,"@@","OK")</f>
        <v>OK</v>
      </c>
    </row>
    <row r="7" spans="1:40" ht="60" customHeight="1">
      <c r="A7" s="137"/>
      <c r="B7" s="962" t="s">
        <v>799</v>
      </c>
      <c r="C7" s="962"/>
      <c r="D7" s="962"/>
      <c r="E7" s="962"/>
      <c r="F7" s="962"/>
      <c r="G7" s="962"/>
      <c r="H7" s="962"/>
      <c r="I7" s="962"/>
      <c r="J7" s="962"/>
      <c r="K7" s="138"/>
      <c r="L7" s="326" t="str">
        <f>SUBTOTAL(3,L8:L10)&amp;"건"</f>
        <v>0건</v>
      </c>
      <c r="M7" s="437">
        <f t="shared" ref="M7:S7" si="2">SUBTOTAL(9,M8:M10)</f>
        <v>0</v>
      </c>
      <c r="N7" s="437">
        <f t="shared" si="2"/>
        <v>0</v>
      </c>
      <c r="O7" s="437">
        <f t="shared" si="2"/>
        <v>0</v>
      </c>
      <c r="P7" s="437">
        <f t="shared" si="2"/>
        <v>0</v>
      </c>
      <c r="Q7" s="437">
        <f t="shared" si="2"/>
        <v>0</v>
      </c>
      <c r="R7" s="437">
        <f t="shared" si="2"/>
        <v>0</v>
      </c>
      <c r="S7" s="437">
        <f t="shared" si="2"/>
        <v>0</v>
      </c>
      <c r="T7" s="137"/>
      <c r="U7" s="139"/>
      <c r="V7" s="139"/>
      <c r="W7" s="137"/>
      <c r="X7" s="148"/>
      <c r="Y7" s="140"/>
      <c r="Z7" s="80"/>
      <c r="AA7" s="43"/>
      <c r="AB7" s="437">
        <f t="shared" ref="AB7" si="3">SUBTOTAL(9,AB8:AB10)</f>
        <v>0</v>
      </c>
      <c r="AC7" s="437">
        <f t="shared" ref="AC7" si="4">SUBTOTAL(9,AC8:AC10)</f>
        <v>0</v>
      </c>
      <c r="AD7" s="511" t="str">
        <f>IF(COUNTIF(AD8:AD10,"@@")&gt;0,"@@","OK")</f>
        <v>OK</v>
      </c>
      <c r="AE7" s="52"/>
      <c r="AF7" s="437">
        <f t="shared" ref="AF7" si="5">SUBTOTAL(9,AF8:AF10)</f>
        <v>0</v>
      </c>
      <c r="AG7" s="437">
        <f t="shared" ref="AG7" si="6">SUBTOTAL(9,AG8:AG10)</f>
        <v>0</v>
      </c>
      <c r="AH7" s="511" t="str">
        <f>IF(COUNTIF(AH8:AH10,"@@")&gt;0,"@@","OK")</f>
        <v>OK</v>
      </c>
      <c r="AI7" s="43"/>
      <c r="AJ7" s="80"/>
      <c r="AK7" s="80"/>
      <c r="AL7" s="511" t="str">
        <f>IF(COUNTIF(AL8:AL10,"@@")&gt;0,"@@","OK")</f>
        <v>OK</v>
      </c>
      <c r="AM7" s="80"/>
      <c r="AN7" s="511" t="str">
        <f>IF(COUNTIF(AN8:AN10,"@@")&gt;0,"@@","OK")</f>
        <v>OK</v>
      </c>
    </row>
    <row r="8" spans="1:40" s="19" customFormat="1" ht="80.099999999999994" customHeight="1">
      <c r="A8" s="126" t="str">
        <f>IF(D8="","",COUNTA($C$7:C8)-COUNTBLANK($C$7:C8)+1)</f>
        <v/>
      </c>
      <c r="B8" s="127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27" t="str">
        <f>IF(D8="","",IF(OR(D8="교육지원과",D8="총무과",D8="인사과"),"직접입력",VLOOKUP(D8,구분표!$A$3:$C$258,3,)))</f>
        <v/>
      </c>
      <c r="D8" s="194"/>
      <c r="E8" s="181"/>
      <c r="F8" s="350" t="str">
        <f>IF($E8="","",IF($E8="2추","직접입력","-"))</f>
        <v/>
      </c>
      <c r="G8" s="350" t="str">
        <f>IF($E8="","",IF($E8="2추","직접입력","-"))</f>
        <v/>
      </c>
      <c r="H8" s="181"/>
      <c r="I8" s="127" t="str">
        <f>IF(H8="","",VLOOKUP($H8,구분표!$K$3:$M$147,2,FALSE))</f>
        <v/>
      </c>
      <c r="J8" s="127" t="str">
        <f>IF(I8="","",VLOOKUP($H8,구분표!$K$3:$M$147,3,FALSE))</f>
        <v/>
      </c>
      <c r="K8" s="201"/>
      <c r="L8" s="201"/>
      <c r="M8" s="419" t="str">
        <f>IF($E8="","",IF(OR($E8="2추", $E8="1추", $E8="본예산"), "금액입력", "-"))</f>
        <v/>
      </c>
      <c r="N8" s="419" t="str">
        <f>IF($E8="", "", IF($E8="2추","금액입력", "-"))</f>
        <v/>
      </c>
      <c r="O8" s="421" t="str">
        <f>IF($E8="","",SUM(M8:N8))</f>
        <v/>
      </c>
      <c r="P8" s="420"/>
      <c r="Q8" s="421">
        <f>SUM(O8:P8)</f>
        <v>0</v>
      </c>
      <c r="R8" s="422"/>
      <c r="S8" s="423">
        <f>SUM(O8,R8)</f>
        <v>0</v>
      </c>
      <c r="T8" s="133" t="str">
        <f t="shared" ref="T8" si="7">IF(AND((Q8=0),(S8&gt;0)),"O",IF(AND((P8&lt;0),(Q8-S8&lt;0)),"O","X"))</f>
        <v>X</v>
      </c>
      <c r="U8" s="198"/>
      <c r="V8" s="192"/>
      <c r="W8" s="185"/>
      <c r="X8" s="202"/>
      <c r="Y8" s="185"/>
      <c r="Z8" s="320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46" t="str">
        <f>IF($Z8="","",IF($Z8="국도비","금액입력",0))</f>
        <v/>
      </c>
      <c r="AC8" s="447">
        <f>IFERROR(P8-AB8,0)</f>
        <v>0</v>
      </c>
      <c r="AD8" s="320" t="str">
        <f t="shared" ref="AD8:AD72" si="8">IF($P8=SUM($AB8:$AC8),"OK","@@")</f>
        <v>OK</v>
      </c>
      <c r="AE8" s="7"/>
      <c r="AF8" s="462" t="str">
        <f>IF($Z8="","",IF($Z8="국도비","금액입력",0))</f>
        <v/>
      </c>
      <c r="AG8" s="463">
        <f>IFERROR(R8-AF8,0)</f>
        <v>0</v>
      </c>
      <c r="AH8" s="343" t="str">
        <f t="shared" ref="AH8:AH72" si="9">IF($R8=SUM($AF8:$AG8),"OK","@@")</f>
        <v>OK</v>
      </c>
      <c r="AI8" s="7"/>
      <c r="AJ8" s="189" t="str">
        <f>IF($Z8="","",IF($Z8="도비","-","세입번호입력"))</f>
        <v/>
      </c>
      <c r="AK8" s="320" t="str">
        <f>IF(OR(AJ8="",AJ8="-",AJ8="세입번호입력"),"", COUNTIF($AJ$7:$AJ$1013,AJ8))</f>
        <v/>
      </c>
      <c r="AL8" s="320" t="str">
        <f>IF($AJ8="","",IF($Z8="도비", "OK",IF(AND($Z8="국도비",$AJ8="세입없음"),"OK", IF(AND($Z8="국도비",$AJ8="세입번호입력"),"@@","OK"))))</f>
        <v/>
      </c>
      <c r="AM8" s="320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20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26" t="str">
        <f>IF(D9="","",COUNTA($C$7:C9)-COUNTBLANK($C$7:C9)+1)</f>
        <v/>
      </c>
      <c r="B9" s="127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27" t="str">
        <f>IF(D9="","",IF(OR(D9="교육지원과",D9="총무과",D9="인사과"),"직접입력",VLOOKUP(D9,구분표!$A$3:$C$258,3,)))</f>
        <v/>
      </c>
      <c r="D9" s="194"/>
      <c r="E9" s="181"/>
      <c r="F9" s="350" t="str">
        <f t="shared" ref="F9:G10" si="10">IF($E9="","",IF($E9="2추","직접입력","-"))</f>
        <v/>
      </c>
      <c r="G9" s="350" t="str">
        <f t="shared" si="10"/>
        <v/>
      </c>
      <c r="H9" s="181"/>
      <c r="I9" s="127" t="str">
        <f>IF(H9="","",VLOOKUP($H9,구분표!$K$3:$M$147,2,FALSE))</f>
        <v/>
      </c>
      <c r="J9" s="127" t="str">
        <f>IF(I9="","",VLOOKUP($H9,구분표!$K$3:$M$147,3,FALSE))</f>
        <v/>
      </c>
      <c r="K9" s="201"/>
      <c r="L9" s="201"/>
      <c r="M9" s="419" t="str">
        <f t="shared" ref="M9:M10" si="11">IF($E9="","",IF(OR($E9="2추", $E9="1추", $E9="본예산"), "금액입력", "-"))</f>
        <v/>
      </c>
      <c r="N9" s="419" t="str">
        <f t="shared" ref="N9:N10" si="12">IF($E9="", "", IF($E9="2추","금액입력", "-"))</f>
        <v/>
      </c>
      <c r="O9" s="421" t="str">
        <f t="shared" ref="O9:O10" si="13">IF($E9="","",SUM(M9:N9))</f>
        <v/>
      </c>
      <c r="P9" s="420"/>
      <c r="Q9" s="421">
        <f t="shared" ref="Q9:Q10" si="14">SUM(O9:P9)</f>
        <v>0</v>
      </c>
      <c r="R9" s="422"/>
      <c r="S9" s="423">
        <f t="shared" ref="S9:S10" si="15">SUM(O9,R9)</f>
        <v>0</v>
      </c>
      <c r="T9" s="133" t="str">
        <f t="shared" ref="T9:T10" si="16">IF(AND((Q9=0),(S9&gt;0)),"O",IF(AND((P9&lt;0),(Q9-S9&lt;0)),"O","X"))</f>
        <v>X</v>
      </c>
      <c r="U9" s="198"/>
      <c r="V9" s="192"/>
      <c r="W9" s="185"/>
      <c r="X9" s="202"/>
      <c r="Y9" s="185"/>
      <c r="Z9" s="320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46" t="str">
        <f t="shared" ref="AB9:AB10" si="18">IF($Z9="","",IF($Z9="국도비","금액입력",0))</f>
        <v/>
      </c>
      <c r="AC9" s="447">
        <f t="shared" ref="AC9:AC10" si="19">IFERROR(P9-AB9,0)</f>
        <v>0</v>
      </c>
      <c r="AD9" s="320" t="str">
        <f t="shared" si="8"/>
        <v>OK</v>
      </c>
      <c r="AE9" s="7"/>
      <c r="AF9" s="462" t="str">
        <f t="shared" ref="AF9:AF10" si="20">IF($Z9="","",IF($Z9="국도비","금액입력",0))</f>
        <v/>
      </c>
      <c r="AG9" s="463">
        <f t="shared" ref="AG9:AG10" si="21">IFERROR(R9-AF9,0)</f>
        <v>0</v>
      </c>
      <c r="AH9" s="343" t="str">
        <f t="shared" si="9"/>
        <v>OK</v>
      </c>
      <c r="AI9" s="7"/>
      <c r="AJ9" s="189" t="str">
        <f t="shared" ref="AJ9:AJ10" si="22">IF($Z9="","",IF($Z9="도비","-","세입번호입력"))</f>
        <v/>
      </c>
      <c r="AK9" s="320" t="str">
        <f t="shared" ref="AK9:AK10" si="23">IF(OR(AJ9="",AJ9="-",AJ9="세입번호입력"),"", COUNTIF($AJ$7:$AJ$1013,AJ9))</f>
        <v/>
      </c>
      <c r="AL9" s="320" t="str">
        <f t="shared" ref="AL9:AL10" si="24">IF($AJ9="","",IF($Z9="도비", "OK",IF(AND($Z9="국도비",$AJ9="세입없음"),"OK", IF(AND($Z9="국도비",$AJ9="세입번호입력"),"@@","OK"))))</f>
        <v/>
      </c>
      <c r="AM9" s="320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20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26" t="str">
        <f>IF(D10="","",COUNTA($C$7:C10)-COUNTBLANK($C$7:C10)+1)</f>
        <v/>
      </c>
      <c r="B10" s="127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27" t="str">
        <f>IF(D10="","",IF(OR(D10="교육지원과",D10="총무과",D10="인사과"),"직접입력",VLOOKUP(D10,구분표!$A$3:$C$258,3,)))</f>
        <v/>
      </c>
      <c r="D10" s="194"/>
      <c r="E10" s="181"/>
      <c r="F10" s="350" t="str">
        <f t="shared" si="10"/>
        <v/>
      </c>
      <c r="G10" s="350" t="str">
        <f t="shared" si="10"/>
        <v/>
      </c>
      <c r="H10" s="181"/>
      <c r="I10" s="127" t="str">
        <f>IF(H10="","",VLOOKUP($H10,구분표!$K$3:$M$147,2,FALSE))</f>
        <v/>
      </c>
      <c r="J10" s="127" t="str">
        <f>IF(I10="","",VLOOKUP($H10,구분표!$K$3:$M$147,3,FALSE))</f>
        <v/>
      </c>
      <c r="K10" s="201"/>
      <c r="L10" s="201"/>
      <c r="M10" s="419" t="str">
        <f t="shared" si="11"/>
        <v/>
      </c>
      <c r="N10" s="419" t="str">
        <f t="shared" si="12"/>
        <v/>
      </c>
      <c r="O10" s="421" t="str">
        <f t="shared" si="13"/>
        <v/>
      </c>
      <c r="P10" s="420"/>
      <c r="Q10" s="421">
        <f t="shared" si="14"/>
        <v>0</v>
      </c>
      <c r="R10" s="422"/>
      <c r="S10" s="423">
        <f t="shared" si="15"/>
        <v>0</v>
      </c>
      <c r="T10" s="133" t="str">
        <f t="shared" si="16"/>
        <v>X</v>
      </c>
      <c r="U10" s="198"/>
      <c r="V10" s="192"/>
      <c r="W10" s="185"/>
      <c r="X10" s="202"/>
      <c r="Y10" s="185"/>
      <c r="Z10" s="320" t="str">
        <f t="shared" si="17"/>
        <v/>
      </c>
      <c r="AA10" s="60"/>
      <c r="AB10" s="446" t="str">
        <f t="shared" si="18"/>
        <v/>
      </c>
      <c r="AC10" s="447">
        <f t="shared" si="19"/>
        <v>0</v>
      </c>
      <c r="AD10" s="320" t="str">
        <f t="shared" si="8"/>
        <v>OK</v>
      </c>
      <c r="AE10" s="7"/>
      <c r="AF10" s="462" t="str">
        <f t="shared" si="20"/>
        <v/>
      </c>
      <c r="AG10" s="463">
        <f t="shared" si="21"/>
        <v>0</v>
      </c>
      <c r="AH10" s="343" t="str">
        <f t="shared" si="9"/>
        <v>OK</v>
      </c>
      <c r="AI10" s="7"/>
      <c r="AJ10" s="189" t="str">
        <f t="shared" si="22"/>
        <v/>
      </c>
      <c r="AK10" s="320" t="str">
        <f t="shared" si="23"/>
        <v/>
      </c>
      <c r="AL10" s="320" t="str">
        <f t="shared" si="24"/>
        <v/>
      </c>
      <c r="AM10" s="320" t="str">
        <f t="shared" si="25"/>
        <v/>
      </c>
      <c r="AN10" s="320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37"/>
      <c r="B11" s="962" t="s">
        <v>775</v>
      </c>
      <c r="C11" s="962"/>
      <c r="D11" s="962"/>
      <c r="E11" s="962"/>
      <c r="F11" s="962"/>
      <c r="G11" s="962"/>
      <c r="H11" s="962"/>
      <c r="I11" s="962"/>
      <c r="J11" s="962"/>
      <c r="K11" s="82"/>
      <c r="L11" s="326" t="str">
        <f>SUBTOTAL(3,L12:L14)&amp;"건"</f>
        <v>0건</v>
      </c>
      <c r="M11" s="437">
        <f t="shared" ref="M11:S11" si="26">SUBTOTAL(9,M12:M14)</f>
        <v>0</v>
      </c>
      <c r="N11" s="437">
        <f t="shared" si="26"/>
        <v>0</v>
      </c>
      <c r="O11" s="437">
        <f t="shared" si="26"/>
        <v>0</v>
      </c>
      <c r="P11" s="437">
        <f t="shared" si="26"/>
        <v>0</v>
      </c>
      <c r="Q11" s="437">
        <f t="shared" si="26"/>
        <v>0</v>
      </c>
      <c r="R11" s="437">
        <f t="shared" si="26"/>
        <v>0</v>
      </c>
      <c r="S11" s="437">
        <f t="shared" si="26"/>
        <v>0</v>
      </c>
      <c r="T11" s="81"/>
      <c r="U11" s="83"/>
      <c r="V11" s="83"/>
      <c r="W11" s="84"/>
      <c r="X11" s="148"/>
      <c r="Y11" s="85"/>
      <c r="Z11" s="327"/>
      <c r="AA11" s="43"/>
      <c r="AB11" s="437">
        <f t="shared" ref="AB11:AC11" si="27">SUBTOTAL(9,AB12:AB14)</f>
        <v>0</v>
      </c>
      <c r="AC11" s="437">
        <f t="shared" si="27"/>
        <v>0</v>
      </c>
      <c r="AD11" s="511" t="str">
        <f>IF(COUNTIF(AD12:AD14,"@@")&gt;0,"@@","OK")</f>
        <v>OK</v>
      </c>
      <c r="AE11" s="52"/>
      <c r="AF11" s="437">
        <f t="shared" ref="AF11:AG11" si="28">SUBTOTAL(9,AF12:AF14)</f>
        <v>0</v>
      </c>
      <c r="AG11" s="437">
        <f t="shared" si="28"/>
        <v>0</v>
      </c>
      <c r="AH11" s="511" t="str">
        <f>IF(COUNTIF(AH12:AH14,"@@")&gt;0,"@@","OK")</f>
        <v>OK</v>
      </c>
      <c r="AI11" s="43"/>
      <c r="AJ11" s="80"/>
      <c r="AK11" s="80"/>
      <c r="AL11" s="511" t="str">
        <f>IF(COUNTIF(AL12:AL14,"@@")&gt;0,"@@","OK")</f>
        <v>OK</v>
      </c>
      <c r="AM11" s="80"/>
      <c r="AN11" s="511" t="str">
        <f>IF(COUNTIF(AN12:AN14,"@@")&gt;0,"@@","OK")</f>
        <v>OK</v>
      </c>
    </row>
    <row r="12" spans="1:40" s="19" customFormat="1" ht="80.099999999999994" customHeight="1">
      <c r="A12" s="126" t="str">
        <f>IF(D12="","",COUNTA($C$7:C12)-COUNTBLANK($C$7:C12)+2)</f>
        <v/>
      </c>
      <c r="B12" s="127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27" t="str">
        <f>IF(D12="","",IF(OR(D12="교육지원과",D12="총무과",D12="인사과"),"직접입력",VLOOKUP(D12,구분표!$A$3:$C$258,3,)))</f>
        <v/>
      </c>
      <c r="D12" s="194"/>
      <c r="E12" s="181"/>
      <c r="F12" s="350" t="str">
        <f>IF($E12="","",IF($E12="2추","직접입력","-"))</f>
        <v/>
      </c>
      <c r="G12" s="350" t="str">
        <f>IF($E12="","",IF($E12="2추","직접입력","-"))</f>
        <v/>
      </c>
      <c r="H12" s="181"/>
      <c r="I12" s="127" t="str">
        <f>IF(H12="","",VLOOKUP($H12,구분표!$K$3:$M$147,2,FALSE))</f>
        <v/>
      </c>
      <c r="J12" s="127" t="str">
        <f>IF(I12="","",VLOOKUP($H12,구분표!$K$3:$M$147,3,FALSE))</f>
        <v/>
      </c>
      <c r="K12" s="201"/>
      <c r="L12" s="201"/>
      <c r="M12" s="419" t="str">
        <f>IF($E12="","",IF(OR($E12="2추", $E12="1추", $E12="본예산"), "금액입력", "-"))</f>
        <v/>
      </c>
      <c r="N12" s="419" t="str">
        <f>IF($E12="", "", IF($E12="2추","금액입력", "-"))</f>
        <v/>
      </c>
      <c r="O12" s="421" t="str">
        <f t="shared" ref="O12:O14" si="29">IF($E12="","",SUM(M12:N12))</f>
        <v/>
      </c>
      <c r="P12" s="420"/>
      <c r="Q12" s="421">
        <f t="shared" ref="Q12:Q14" si="30">SUM(O12:P12)</f>
        <v>0</v>
      </c>
      <c r="R12" s="422"/>
      <c r="S12" s="423">
        <f t="shared" ref="S12:S14" si="31">SUM(O12,R12)</f>
        <v>0</v>
      </c>
      <c r="T12" s="133" t="str">
        <f t="shared" ref="T12:T14" si="32">IF(AND((Q12=0),(S12&gt;0)),"O",IF(AND((P12&lt;0),(Q12-S12&lt;0)),"O","X"))</f>
        <v>X</v>
      </c>
      <c r="U12" s="198"/>
      <c r="V12" s="192"/>
      <c r="W12" s="185"/>
      <c r="X12" s="202"/>
      <c r="Y12" s="185"/>
      <c r="Z12" s="320" t="str">
        <f t="shared" ref="Z12:Z14" si="33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46" t="str">
        <f t="shared" ref="AB12:AB14" si="34">IF($Z12="","",IF($Z12="국도비","금액입력",0))</f>
        <v/>
      </c>
      <c r="AC12" s="447">
        <f t="shared" ref="AC12:AC14" si="35">IFERROR(P12-AB12,0)</f>
        <v>0</v>
      </c>
      <c r="AD12" s="320" t="str">
        <f t="shared" si="8"/>
        <v>OK</v>
      </c>
      <c r="AE12" s="7"/>
      <c r="AF12" s="462" t="str">
        <f t="shared" ref="AF12:AF14" si="36">IF($Z12="","",IF($Z12="국도비","금액입력",0))</f>
        <v/>
      </c>
      <c r="AG12" s="463">
        <f t="shared" ref="AG12:AG14" si="37">IFERROR(R12-AF12,0)</f>
        <v>0</v>
      </c>
      <c r="AH12" s="343" t="str">
        <f t="shared" si="9"/>
        <v>OK</v>
      </c>
      <c r="AI12" s="7"/>
      <c r="AJ12" s="189" t="str">
        <f t="shared" ref="AJ12:AJ14" si="38">IF($Z12="","",IF($Z12="도비","-","세입번호입력"))</f>
        <v/>
      </c>
      <c r="AK12" s="320" t="str">
        <f t="shared" ref="AK12:AK14" si="39">IF(OR(AJ12="",AJ12="-",AJ12="세입번호입력"),"", COUNTIF($AJ$7:$AJ$1013,AJ12))</f>
        <v/>
      </c>
      <c r="AL12" s="320" t="str">
        <f t="shared" ref="AL12:AL14" si="40">IF($AJ12="","",IF($Z12="도비", "OK",IF(AND($Z12="국도비",$AJ12="세입없음"),"OK", IF(AND($Z12="국도비",$AJ12="세입번호입력"),"@@","OK"))))</f>
        <v/>
      </c>
      <c r="AM12" s="320" t="str">
        <f t="shared" ref="AM12:AM14" si="41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20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26" t="str">
        <f>IF(D13="","",COUNTA($C$7:C13)-COUNTBLANK($C$7:C13)+2)</f>
        <v/>
      </c>
      <c r="B13" s="127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27" t="str">
        <f>IF(D13="","",IF(OR(D13="교육지원과",D13="총무과",D13="인사과"),"직접입력",VLOOKUP(D13,구분표!$A$3:$C$258,3,)))</f>
        <v/>
      </c>
      <c r="D13" s="194"/>
      <c r="E13" s="181"/>
      <c r="F13" s="350" t="str">
        <f t="shared" ref="F13:G14" si="42">IF($E13="","",IF($E13="2추","직접입력","-"))</f>
        <v/>
      </c>
      <c r="G13" s="350" t="str">
        <f t="shared" si="42"/>
        <v/>
      </c>
      <c r="H13" s="181"/>
      <c r="I13" s="127" t="str">
        <f>IF(H13="","",VLOOKUP($H13,구분표!$K$3:$M$147,2,FALSE))</f>
        <v/>
      </c>
      <c r="J13" s="127" t="str">
        <f>IF(I13="","",VLOOKUP($H13,구분표!$K$3:$M$147,3,FALSE))</f>
        <v/>
      </c>
      <c r="K13" s="201"/>
      <c r="L13" s="201"/>
      <c r="M13" s="419" t="str">
        <f t="shared" ref="M13:M14" si="43">IF($E13="","",IF(OR($E13="2추", $E13="1추", $E13="본예산"), "금액입력", "-"))</f>
        <v/>
      </c>
      <c r="N13" s="419" t="str">
        <f t="shared" ref="N13:N14" si="44">IF($E13="", "", IF($E13="2추","금액입력", "-"))</f>
        <v/>
      </c>
      <c r="O13" s="421" t="str">
        <f t="shared" si="29"/>
        <v/>
      </c>
      <c r="P13" s="420"/>
      <c r="Q13" s="421">
        <f t="shared" si="30"/>
        <v>0</v>
      </c>
      <c r="R13" s="422"/>
      <c r="S13" s="423">
        <f t="shared" si="31"/>
        <v>0</v>
      </c>
      <c r="T13" s="133" t="str">
        <f t="shared" si="32"/>
        <v>X</v>
      </c>
      <c r="U13" s="198"/>
      <c r="V13" s="192"/>
      <c r="W13" s="185"/>
      <c r="X13" s="202"/>
      <c r="Y13" s="185"/>
      <c r="Z13" s="320" t="str">
        <f t="shared" si="33"/>
        <v/>
      </c>
      <c r="AA13" s="60"/>
      <c r="AB13" s="446" t="str">
        <f t="shared" si="34"/>
        <v/>
      </c>
      <c r="AC13" s="447">
        <f t="shared" si="35"/>
        <v>0</v>
      </c>
      <c r="AD13" s="320" t="str">
        <f t="shared" si="8"/>
        <v>OK</v>
      </c>
      <c r="AE13" s="7"/>
      <c r="AF13" s="462" t="str">
        <f t="shared" si="36"/>
        <v/>
      </c>
      <c r="AG13" s="463">
        <f t="shared" si="37"/>
        <v>0</v>
      </c>
      <c r="AH13" s="343" t="str">
        <f t="shared" si="9"/>
        <v>OK</v>
      </c>
      <c r="AI13" s="7"/>
      <c r="AJ13" s="189" t="str">
        <f t="shared" si="38"/>
        <v/>
      </c>
      <c r="AK13" s="320" t="str">
        <f t="shared" si="39"/>
        <v/>
      </c>
      <c r="AL13" s="320" t="str">
        <f t="shared" si="40"/>
        <v/>
      </c>
      <c r="AM13" s="320" t="str">
        <f t="shared" si="41"/>
        <v/>
      </c>
      <c r="AN13" s="320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26" t="str">
        <f>IF(D14="","",COUNTA($C$7:C14)-COUNTBLANK($C$7:C14)+2)</f>
        <v/>
      </c>
      <c r="B14" s="127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27" t="str">
        <f>IF(D14="","",IF(OR(D14="교육지원과",D14="총무과",D14="인사과"),"직접입력",VLOOKUP(D14,구분표!$A$3:$C$258,3,)))</f>
        <v/>
      </c>
      <c r="D14" s="194"/>
      <c r="E14" s="181"/>
      <c r="F14" s="350" t="str">
        <f t="shared" si="42"/>
        <v/>
      </c>
      <c r="G14" s="350" t="str">
        <f t="shared" si="42"/>
        <v/>
      </c>
      <c r="H14" s="181"/>
      <c r="I14" s="127" t="str">
        <f>IF(H14="","",VLOOKUP($H14,구분표!$K$3:$M$147,2,FALSE))</f>
        <v/>
      </c>
      <c r="J14" s="127" t="str">
        <f>IF(I14="","",VLOOKUP($H14,구분표!$K$3:$M$147,3,FALSE))</f>
        <v/>
      </c>
      <c r="K14" s="201"/>
      <c r="L14" s="201"/>
      <c r="M14" s="419" t="str">
        <f t="shared" si="43"/>
        <v/>
      </c>
      <c r="N14" s="419" t="str">
        <f t="shared" si="44"/>
        <v/>
      </c>
      <c r="O14" s="421" t="str">
        <f t="shared" si="29"/>
        <v/>
      </c>
      <c r="P14" s="420"/>
      <c r="Q14" s="421">
        <f t="shared" si="30"/>
        <v>0</v>
      </c>
      <c r="R14" s="422"/>
      <c r="S14" s="423">
        <f t="shared" si="31"/>
        <v>0</v>
      </c>
      <c r="T14" s="133" t="str">
        <f t="shared" si="32"/>
        <v>X</v>
      </c>
      <c r="U14" s="198"/>
      <c r="V14" s="192"/>
      <c r="W14" s="185"/>
      <c r="X14" s="202"/>
      <c r="Y14" s="185"/>
      <c r="Z14" s="320" t="str">
        <f t="shared" si="33"/>
        <v/>
      </c>
      <c r="AA14" s="60"/>
      <c r="AB14" s="446" t="str">
        <f t="shared" si="34"/>
        <v/>
      </c>
      <c r="AC14" s="447">
        <f t="shared" si="35"/>
        <v>0</v>
      </c>
      <c r="AD14" s="320" t="str">
        <f t="shared" si="8"/>
        <v>OK</v>
      </c>
      <c r="AE14" s="7"/>
      <c r="AF14" s="462" t="str">
        <f t="shared" si="36"/>
        <v/>
      </c>
      <c r="AG14" s="463">
        <f t="shared" si="37"/>
        <v>0</v>
      </c>
      <c r="AH14" s="343" t="str">
        <f t="shared" si="9"/>
        <v>OK</v>
      </c>
      <c r="AI14" s="7"/>
      <c r="AJ14" s="189" t="str">
        <f t="shared" si="38"/>
        <v/>
      </c>
      <c r="AK14" s="320" t="str">
        <f t="shared" si="39"/>
        <v/>
      </c>
      <c r="AL14" s="320" t="str">
        <f t="shared" si="40"/>
        <v/>
      </c>
      <c r="AM14" s="320" t="str">
        <f t="shared" si="41"/>
        <v/>
      </c>
      <c r="AN14" s="320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37"/>
      <c r="B15" s="962" t="s">
        <v>776</v>
      </c>
      <c r="C15" s="962"/>
      <c r="D15" s="962"/>
      <c r="E15" s="962"/>
      <c r="F15" s="962"/>
      <c r="G15" s="962"/>
      <c r="H15" s="962"/>
      <c r="I15" s="962"/>
      <c r="J15" s="962"/>
      <c r="K15" s="82"/>
      <c r="L15" s="326" t="str">
        <f>SUBTOTAL(3,L16:L18)&amp;"건"</f>
        <v>0건</v>
      </c>
      <c r="M15" s="437">
        <f t="shared" ref="M15:S15" si="45">SUBTOTAL(9,M16:M18)</f>
        <v>0</v>
      </c>
      <c r="N15" s="437">
        <f t="shared" si="45"/>
        <v>0</v>
      </c>
      <c r="O15" s="437">
        <f t="shared" si="45"/>
        <v>0</v>
      </c>
      <c r="P15" s="437">
        <f t="shared" si="45"/>
        <v>0</v>
      </c>
      <c r="Q15" s="437">
        <f t="shared" si="45"/>
        <v>0</v>
      </c>
      <c r="R15" s="437">
        <f t="shared" si="45"/>
        <v>0</v>
      </c>
      <c r="S15" s="437">
        <f t="shared" si="45"/>
        <v>0</v>
      </c>
      <c r="T15" s="81"/>
      <c r="U15" s="83"/>
      <c r="V15" s="83"/>
      <c r="W15" s="84"/>
      <c r="X15" s="148"/>
      <c r="Y15" s="85"/>
      <c r="Z15" s="81"/>
      <c r="AA15" s="43"/>
      <c r="AB15" s="437">
        <f t="shared" ref="AB15:AC15" si="46">SUBTOTAL(9,AB16:AB18)</f>
        <v>0</v>
      </c>
      <c r="AC15" s="437">
        <f t="shared" si="46"/>
        <v>0</v>
      </c>
      <c r="AD15" s="511" t="str">
        <f>IF(COUNTIF(AD16:AD18,"@@")&gt;0,"@@","OK")</f>
        <v>OK</v>
      </c>
      <c r="AE15" s="52"/>
      <c r="AF15" s="437">
        <f t="shared" ref="AF15:AG15" si="47">SUBTOTAL(9,AF16:AF18)</f>
        <v>0</v>
      </c>
      <c r="AG15" s="437">
        <f t="shared" si="47"/>
        <v>0</v>
      </c>
      <c r="AH15" s="511" t="str">
        <f>IF(COUNTIF(AH16:AH18,"@@")&gt;0,"@@","OK")</f>
        <v>OK</v>
      </c>
      <c r="AI15" s="43"/>
      <c r="AJ15" s="80"/>
      <c r="AK15" s="80"/>
      <c r="AL15" s="511" t="str">
        <f>IF(COUNTIF(AL16:AL18,"@@")&gt;0,"@@","OK")</f>
        <v>OK</v>
      </c>
      <c r="AM15" s="80"/>
      <c r="AN15" s="511" t="str">
        <f>IF(COUNTIF(AN16:AN18,"@@")&gt;0,"@@","OK")</f>
        <v>OK</v>
      </c>
    </row>
    <row r="16" spans="1:40" s="19" customFormat="1" ht="80.099999999999994" customHeight="1">
      <c r="A16" s="126" t="str">
        <f>IF(D16="","",COUNTA($C$7:C16)-COUNTBLANK($C$7:C16)+3)</f>
        <v/>
      </c>
      <c r="B16" s="127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27" t="str">
        <f>IF(D16="","",IF(OR(D16="교육지원과",D16="총무과",D16="인사과"),"직접입력",VLOOKUP(D16,구분표!$A$3:$C$258,3,)))</f>
        <v/>
      </c>
      <c r="D16" s="194"/>
      <c r="E16" s="181"/>
      <c r="F16" s="350" t="str">
        <f>IF($E16="","",IF($E16="2추","직접입력","-"))</f>
        <v/>
      </c>
      <c r="G16" s="350" t="str">
        <f>IF($E16="","",IF($E16="2추","직접입력","-"))</f>
        <v/>
      </c>
      <c r="H16" s="181"/>
      <c r="I16" s="127" t="str">
        <f>IF(H16="","",VLOOKUP($H16,구분표!$K$3:$M$147,2,FALSE))</f>
        <v/>
      </c>
      <c r="J16" s="127" t="str">
        <f>IF(I16="","",VLOOKUP($H16,구분표!$K$3:$M$147,3,FALSE))</f>
        <v/>
      </c>
      <c r="K16" s="201"/>
      <c r="L16" s="201"/>
      <c r="M16" s="419" t="str">
        <f>IF($E16="","",IF(OR($E16="2추", $E16="1추", $E16="본예산"), "금액입력", "-"))</f>
        <v/>
      </c>
      <c r="N16" s="419" t="str">
        <f>IF($E16="", "", IF($E16="2추","금액입력", "-"))</f>
        <v/>
      </c>
      <c r="O16" s="421" t="str">
        <f t="shared" ref="O16:O18" si="48">IF($E16="","",SUM(M16:N16))</f>
        <v/>
      </c>
      <c r="P16" s="420"/>
      <c r="Q16" s="421">
        <f t="shared" ref="Q16:Q18" si="49">SUM(O16:P16)</f>
        <v>0</v>
      </c>
      <c r="R16" s="422"/>
      <c r="S16" s="423">
        <f t="shared" ref="S16:S18" si="50">SUM(O16,R16)</f>
        <v>0</v>
      </c>
      <c r="T16" s="133" t="str">
        <f t="shared" ref="T16:T18" si="51">IF(AND((Q16=0),(S16&gt;0)),"O",IF(AND((P16&lt;0),(Q16-S16&lt;0)),"O","X"))</f>
        <v>X</v>
      </c>
      <c r="U16" s="198"/>
      <c r="V16" s="192"/>
      <c r="W16" s="185"/>
      <c r="X16" s="202"/>
      <c r="Y16" s="185"/>
      <c r="Z16" s="320" t="str">
        <f t="shared" ref="Z16:Z18" si="52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46" t="str">
        <f t="shared" ref="AB16:AB18" si="53">IF($Z16="","",IF($Z16="국도비","금액입력",0))</f>
        <v/>
      </c>
      <c r="AC16" s="447">
        <f t="shared" ref="AC16:AC18" si="54">IFERROR(P16-AB16,0)</f>
        <v>0</v>
      </c>
      <c r="AD16" s="320" t="str">
        <f t="shared" si="8"/>
        <v>OK</v>
      </c>
      <c r="AE16" s="7"/>
      <c r="AF16" s="462" t="str">
        <f t="shared" ref="AF16:AF18" si="55">IF($Z16="","",IF($Z16="국도비","금액입력",0))</f>
        <v/>
      </c>
      <c r="AG16" s="463">
        <f t="shared" ref="AG16:AG18" si="56">IFERROR(R16-AF16,0)</f>
        <v>0</v>
      </c>
      <c r="AH16" s="343" t="str">
        <f t="shared" si="9"/>
        <v>OK</v>
      </c>
      <c r="AI16" s="7"/>
      <c r="AJ16" s="189" t="str">
        <f t="shared" ref="AJ16:AJ18" si="57">IF($Z16="","",IF($Z16="도비","-","세입번호입력"))</f>
        <v/>
      </c>
      <c r="AK16" s="320" t="str">
        <f t="shared" ref="AK16:AK18" si="58">IF(OR(AJ16="",AJ16="-",AJ16="세입번호입력"),"", COUNTIF($AJ$7:$AJ$1013,AJ16))</f>
        <v/>
      </c>
      <c r="AL16" s="320" t="str">
        <f t="shared" ref="AL16:AL18" si="59">IF($AJ16="","",IF($Z16="도비", "OK",IF(AND($Z16="국도비",$AJ16="세입없음"),"OK", IF(AND($Z16="국도비",$AJ16="세입번호입력"),"@@","OK"))))</f>
        <v/>
      </c>
      <c r="AM16" s="320" t="str">
        <f t="shared" ref="AM16:AM18" si="60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20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26" t="str">
        <f>IF(D17="","",COUNTA($C$7:C17)-COUNTBLANK($C$7:C17)+3)</f>
        <v/>
      </c>
      <c r="B17" s="127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27" t="str">
        <f>IF(D17="","",IF(OR(D17="교육지원과",D17="총무과",D17="인사과"),"직접입력",VLOOKUP(D17,구분표!$A$3:$C$258,3,)))</f>
        <v/>
      </c>
      <c r="D17" s="194"/>
      <c r="E17" s="181"/>
      <c r="F17" s="350" t="str">
        <f t="shared" ref="F17:G18" si="61">IF($E17="","",IF($E17="2추","직접입력","-"))</f>
        <v/>
      </c>
      <c r="G17" s="350" t="str">
        <f t="shared" si="61"/>
        <v/>
      </c>
      <c r="H17" s="181"/>
      <c r="I17" s="127" t="str">
        <f>IF(H17="","",VLOOKUP($H17,구분표!$K$3:$M$147,2,FALSE))</f>
        <v/>
      </c>
      <c r="J17" s="127" t="str">
        <f>IF(I17="","",VLOOKUP($H17,구분표!$K$3:$M$147,3,FALSE))</f>
        <v/>
      </c>
      <c r="K17" s="201"/>
      <c r="L17" s="201"/>
      <c r="M17" s="419" t="str">
        <f t="shared" ref="M17:M18" si="62">IF($E17="","",IF(OR($E17="2추", $E17="1추", $E17="본예산"), "금액입력", "-"))</f>
        <v/>
      </c>
      <c r="N17" s="419" t="str">
        <f t="shared" ref="N17:N18" si="63">IF($E17="", "", IF($E17="2추","금액입력", "-"))</f>
        <v/>
      </c>
      <c r="O17" s="421" t="str">
        <f t="shared" si="48"/>
        <v/>
      </c>
      <c r="P17" s="420"/>
      <c r="Q17" s="421">
        <f t="shared" si="49"/>
        <v>0</v>
      </c>
      <c r="R17" s="422"/>
      <c r="S17" s="423">
        <f t="shared" si="50"/>
        <v>0</v>
      </c>
      <c r="T17" s="133" t="str">
        <f t="shared" si="51"/>
        <v>X</v>
      </c>
      <c r="U17" s="198"/>
      <c r="V17" s="192"/>
      <c r="W17" s="185"/>
      <c r="X17" s="202"/>
      <c r="Y17" s="185"/>
      <c r="Z17" s="320" t="str">
        <f t="shared" si="52"/>
        <v/>
      </c>
      <c r="AA17" s="60"/>
      <c r="AB17" s="446" t="str">
        <f t="shared" si="53"/>
        <v/>
      </c>
      <c r="AC17" s="447">
        <f t="shared" si="54"/>
        <v>0</v>
      </c>
      <c r="AD17" s="320" t="str">
        <f t="shared" si="8"/>
        <v>OK</v>
      </c>
      <c r="AE17" s="7"/>
      <c r="AF17" s="462" t="str">
        <f t="shared" si="55"/>
        <v/>
      </c>
      <c r="AG17" s="463">
        <f t="shared" si="56"/>
        <v>0</v>
      </c>
      <c r="AH17" s="343" t="str">
        <f t="shared" si="9"/>
        <v>OK</v>
      </c>
      <c r="AI17" s="7"/>
      <c r="AJ17" s="189" t="str">
        <f t="shared" si="57"/>
        <v/>
      </c>
      <c r="AK17" s="320" t="str">
        <f t="shared" si="58"/>
        <v/>
      </c>
      <c r="AL17" s="320" t="str">
        <f t="shared" si="59"/>
        <v/>
      </c>
      <c r="AM17" s="320" t="str">
        <f t="shared" si="60"/>
        <v/>
      </c>
      <c r="AN17" s="320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26" t="str">
        <f>IF(D18="","",COUNTA($C$7:C18)-COUNTBLANK($C$7:C18)+3)</f>
        <v/>
      </c>
      <c r="B18" s="127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27" t="str">
        <f>IF(D18="","",IF(OR(D18="교육지원과",D18="총무과",D18="인사과"),"직접입력",VLOOKUP(D18,구분표!$A$3:$C$258,3,)))</f>
        <v/>
      </c>
      <c r="D18" s="194"/>
      <c r="E18" s="181"/>
      <c r="F18" s="350" t="str">
        <f t="shared" si="61"/>
        <v/>
      </c>
      <c r="G18" s="350" t="str">
        <f t="shared" si="61"/>
        <v/>
      </c>
      <c r="H18" s="181"/>
      <c r="I18" s="127" t="str">
        <f>IF(H18="","",VLOOKUP($H18,구분표!$K$3:$M$147,2,FALSE))</f>
        <v/>
      </c>
      <c r="J18" s="127" t="str">
        <f>IF(I18="","",VLOOKUP($H18,구분표!$K$3:$M$147,3,FALSE))</f>
        <v/>
      </c>
      <c r="K18" s="201"/>
      <c r="L18" s="201"/>
      <c r="M18" s="419" t="str">
        <f t="shared" si="62"/>
        <v/>
      </c>
      <c r="N18" s="419" t="str">
        <f t="shared" si="63"/>
        <v/>
      </c>
      <c r="O18" s="421" t="str">
        <f t="shared" si="48"/>
        <v/>
      </c>
      <c r="P18" s="420"/>
      <c r="Q18" s="421">
        <f t="shared" si="49"/>
        <v>0</v>
      </c>
      <c r="R18" s="422"/>
      <c r="S18" s="423">
        <f t="shared" si="50"/>
        <v>0</v>
      </c>
      <c r="T18" s="133" t="str">
        <f t="shared" si="51"/>
        <v>X</v>
      </c>
      <c r="U18" s="198"/>
      <c r="V18" s="192"/>
      <c r="W18" s="185"/>
      <c r="X18" s="202"/>
      <c r="Y18" s="185"/>
      <c r="Z18" s="320" t="str">
        <f t="shared" si="52"/>
        <v/>
      </c>
      <c r="AA18" s="60"/>
      <c r="AB18" s="446" t="str">
        <f t="shared" si="53"/>
        <v/>
      </c>
      <c r="AC18" s="447">
        <f t="shared" si="54"/>
        <v>0</v>
      </c>
      <c r="AD18" s="320" t="str">
        <f t="shared" si="8"/>
        <v>OK</v>
      </c>
      <c r="AE18" s="7"/>
      <c r="AF18" s="462" t="str">
        <f t="shared" si="55"/>
        <v/>
      </c>
      <c r="AG18" s="463">
        <f t="shared" si="56"/>
        <v>0</v>
      </c>
      <c r="AH18" s="343" t="str">
        <f t="shared" si="9"/>
        <v>OK</v>
      </c>
      <c r="AI18" s="7"/>
      <c r="AJ18" s="189" t="str">
        <f t="shared" si="57"/>
        <v/>
      </c>
      <c r="AK18" s="320" t="str">
        <f t="shared" si="58"/>
        <v/>
      </c>
      <c r="AL18" s="320" t="str">
        <f t="shared" si="59"/>
        <v/>
      </c>
      <c r="AM18" s="320" t="str">
        <f t="shared" si="60"/>
        <v/>
      </c>
      <c r="AN18" s="320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37"/>
      <c r="B19" s="962" t="s">
        <v>777</v>
      </c>
      <c r="C19" s="962"/>
      <c r="D19" s="962"/>
      <c r="E19" s="962"/>
      <c r="F19" s="962"/>
      <c r="G19" s="962"/>
      <c r="H19" s="962"/>
      <c r="I19" s="962"/>
      <c r="J19" s="962"/>
      <c r="K19" s="82"/>
      <c r="L19" s="326" t="str">
        <f>SUBTOTAL(3,L20:L22)&amp;"건"</f>
        <v>0건</v>
      </c>
      <c r="M19" s="437">
        <f t="shared" ref="M19:S19" si="64">SUBTOTAL(9,M20:M22)</f>
        <v>0</v>
      </c>
      <c r="N19" s="437">
        <f t="shared" si="64"/>
        <v>0</v>
      </c>
      <c r="O19" s="437">
        <f t="shared" si="64"/>
        <v>0</v>
      </c>
      <c r="P19" s="437">
        <f t="shared" si="64"/>
        <v>0</v>
      </c>
      <c r="Q19" s="437">
        <f t="shared" si="64"/>
        <v>0</v>
      </c>
      <c r="R19" s="437">
        <f t="shared" si="64"/>
        <v>0</v>
      </c>
      <c r="S19" s="437">
        <f t="shared" si="64"/>
        <v>0</v>
      </c>
      <c r="T19" s="81"/>
      <c r="U19" s="83"/>
      <c r="V19" s="83"/>
      <c r="W19" s="84"/>
      <c r="X19" s="148"/>
      <c r="Y19" s="85"/>
      <c r="Z19" s="81"/>
      <c r="AA19" s="43"/>
      <c r="AB19" s="437">
        <f t="shared" ref="AB19:AC19" si="65">SUBTOTAL(9,AB20:AB22)</f>
        <v>0</v>
      </c>
      <c r="AC19" s="437">
        <f t="shared" si="65"/>
        <v>0</v>
      </c>
      <c r="AD19" s="511" t="str">
        <f>IF(COUNTIF(AD20:AD22,"@@")&gt;0,"@@","OK")</f>
        <v>OK</v>
      </c>
      <c r="AE19" s="52"/>
      <c r="AF19" s="437">
        <f t="shared" ref="AF19:AG19" si="66">SUBTOTAL(9,AF20:AF22)</f>
        <v>0</v>
      </c>
      <c r="AG19" s="437">
        <f t="shared" si="66"/>
        <v>0</v>
      </c>
      <c r="AH19" s="511" t="str">
        <f>IF(COUNTIF(AH20:AH22,"@@")&gt;0,"@@","OK")</f>
        <v>OK</v>
      </c>
      <c r="AI19" s="43"/>
      <c r="AJ19" s="80"/>
      <c r="AK19" s="80"/>
      <c r="AL19" s="511" t="str">
        <f>IF(COUNTIF(AL20:AL22,"@@")&gt;0,"@@","OK")</f>
        <v>OK</v>
      </c>
      <c r="AM19" s="80"/>
      <c r="AN19" s="511" t="str">
        <f>IF(COUNTIF(AN20:AN22,"@@")&gt;0,"@@","OK")</f>
        <v>OK</v>
      </c>
    </row>
    <row r="20" spans="1:40" s="19" customFormat="1" ht="80.099999999999994" customHeight="1">
      <c r="A20" s="126" t="str">
        <f>IF(D20="","",COUNTA($C$7:C20)-COUNTBLANK($C$7:C20)+4)</f>
        <v/>
      </c>
      <c r="B20" s="127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27" t="str">
        <f>IF(D20="","",IF(OR(D20="교육지원과",D20="총무과",D20="인사과"),"직접입력",VLOOKUP(D20,구분표!$A$3:$C$258,3,)))</f>
        <v/>
      </c>
      <c r="D20" s="194"/>
      <c r="E20" s="181"/>
      <c r="F20" s="350" t="str">
        <f>IF($E20="","",IF($E20="2추","직접입력","-"))</f>
        <v/>
      </c>
      <c r="G20" s="350" t="str">
        <f>IF($E20="","",IF($E20="2추","직접입력","-"))</f>
        <v/>
      </c>
      <c r="H20" s="181"/>
      <c r="I20" s="127" t="str">
        <f>IF(H20="","",VLOOKUP($H20,구분표!$K$3:$M$147,2,FALSE))</f>
        <v/>
      </c>
      <c r="J20" s="127" t="str">
        <f>IF(I20="","",VLOOKUP($H20,구분표!$K$3:$M$147,3,FALSE))</f>
        <v/>
      </c>
      <c r="K20" s="201"/>
      <c r="L20" s="201"/>
      <c r="M20" s="419" t="str">
        <f>IF($E20="","",IF(OR($E20="2추", $E20="1추", $E20="본예산"), "금액입력", "-"))</f>
        <v/>
      </c>
      <c r="N20" s="419" t="str">
        <f>IF($E20="", "", IF($E20="2추","금액입력", "-"))</f>
        <v/>
      </c>
      <c r="O20" s="421" t="str">
        <f t="shared" ref="O20:O22" si="67">IF($E20="","",SUM(M20:N20))</f>
        <v/>
      </c>
      <c r="P20" s="420"/>
      <c r="Q20" s="421">
        <f t="shared" ref="Q20:Q22" si="68">SUM(O20:P20)</f>
        <v>0</v>
      </c>
      <c r="R20" s="422"/>
      <c r="S20" s="423">
        <f t="shared" ref="S20:S22" si="69">SUM(O20,R20)</f>
        <v>0</v>
      </c>
      <c r="T20" s="133" t="str">
        <f t="shared" ref="T20:T22" si="70">IF(AND((Q20=0),(S20&gt;0)),"O",IF(AND((P20&lt;0),(Q20-S20&lt;0)),"O","X"))</f>
        <v>X</v>
      </c>
      <c r="U20" s="198"/>
      <c r="V20" s="192"/>
      <c r="W20" s="185"/>
      <c r="X20" s="202"/>
      <c r="Y20" s="185"/>
      <c r="Z20" s="320" t="str">
        <f t="shared" ref="Z20:Z22" si="71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46" t="str">
        <f t="shared" ref="AB20:AB22" si="72">IF($Z20="","",IF($Z20="국도비","금액입력",0))</f>
        <v/>
      </c>
      <c r="AC20" s="447">
        <f t="shared" ref="AC20:AC22" si="73">IFERROR(P20-AB20,0)</f>
        <v>0</v>
      </c>
      <c r="AD20" s="320" t="str">
        <f t="shared" si="8"/>
        <v>OK</v>
      </c>
      <c r="AE20" s="7"/>
      <c r="AF20" s="462" t="str">
        <f t="shared" ref="AF20:AF22" si="74">IF($Z20="","",IF($Z20="국도비","금액입력",0))</f>
        <v/>
      </c>
      <c r="AG20" s="463">
        <f t="shared" ref="AG20:AG22" si="75">IFERROR(R20-AF20,0)</f>
        <v>0</v>
      </c>
      <c r="AH20" s="343" t="str">
        <f t="shared" si="9"/>
        <v>OK</v>
      </c>
      <c r="AI20" s="7"/>
      <c r="AJ20" s="189" t="str">
        <f t="shared" ref="AJ20:AJ22" si="76">IF($Z20="","",IF($Z20="도비","-","세입번호입력"))</f>
        <v/>
      </c>
      <c r="AK20" s="320" t="str">
        <f t="shared" ref="AK20:AK22" si="77">IF(OR(AJ20="",AJ20="-",AJ20="세입번호입력"),"", COUNTIF($AJ$7:$AJ$1013,AJ20))</f>
        <v/>
      </c>
      <c r="AL20" s="320" t="str">
        <f t="shared" ref="AL20:AL22" si="78">IF($AJ20="","",IF($Z20="도비", "OK",IF(AND($Z20="국도비",$AJ20="세입없음"),"OK", IF(AND($Z20="국도비",$AJ20="세입번호입력"),"@@","OK"))))</f>
        <v/>
      </c>
      <c r="AM20" s="320" t="str">
        <f t="shared" ref="AM20:AM22" si="79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20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26" t="str">
        <f>IF(D21="","",COUNTA($C$7:C21)-COUNTBLANK($C$7:C21)+4)</f>
        <v/>
      </c>
      <c r="B21" s="127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27" t="str">
        <f>IF(D21="","",IF(OR(D21="교육지원과",D21="총무과",D21="인사과"),"직접입력",VLOOKUP(D21,구분표!$A$3:$C$258,3,)))</f>
        <v/>
      </c>
      <c r="D21" s="194"/>
      <c r="E21" s="181"/>
      <c r="F21" s="350" t="str">
        <f t="shared" ref="F21:G22" si="80">IF($E21="","",IF($E21="2추","직접입력","-"))</f>
        <v/>
      </c>
      <c r="G21" s="350" t="str">
        <f t="shared" si="80"/>
        <v/>
      </c>
      <c r="H21" s="181"/>
      <c r="I21" s="127" t="str">
        <f>IF(H21="","",VLOOKUP($H21,구분표!$K$3:$M$147,2,FALSE))</f>
        <v/>
      </c>
      <c r="J21" s="127" t="str">
        <f>IF(I21="","",VLOOKUP($H21,구분표!$K$3:$M$147,3,FALSE))</f>
        <v/>
      </c>
      <c r="K21" s="201"/>
      <c r="L21" s="201"/>
      <c r="M21" s="419" t="str">
        <f t="shared" ref="M21:M22" si="81">IF($E21="","",IF(OR($E21="2추", $E21="1추", $E21="본예산"), "금액입력", "-"))</f>
        <v/>
      </c>
      <c r="N21" s="419" t="str">
        <f t="shared" ref="N21:N22" si="82">IF($E21="", "", IF($E21="2추","금액입력", "-"))</f>
        <v/>
      </c>
      <c r="O21" s="421" t="str">
        <f t="shared" si="67"/>
        <v/>
      </c>
      <c r="P21" s="420"/>
      <c r="Q21" s="421">
        <f t="shared" si="68"/>
        <v>0</v>
      </c>
      <c r="R21" s="422"/>
      <c r="S21" s="423">
        <f t="shared" si="69"/>
        <v>0</v>
      </c>
      <c r="T21" s="133" t="str">
        <f t="shared" si="70"/>
        <v>X</v>
      </c>
      <c r="U21" s="198"/>
      <c r="V21" s="192"/>
      <c r="W21" s="185"/>
      <c r="X21" s="202"/>
      <c r="Y21" s="185"/>
      <c r="Z21" s="320" t="str">
        <f t="shared" si="71"/>
        <v/>
      </c>
      <c r="AA21" s="60"/>
      <c r="AB21" s="446" t="str">
        <f t="shared" si="72"/>
        <v/>
      </c>
      <c r="AC21" s="447">
        <f t="shared" si="73"/>
        <v>0</v>
      </c>
      <c r="AD21" s="320" t="str">
        <f t="shared" si="8"/>
        <v>OK</v>
      </c>
      <c r="AE21" s="7"/>
      <c r="AF21" s="462" t="str">
        <f t="shared" si="74"/>
        <v/>
      </c>
      <c r="AG21" s="463">
        <f t="shared" si="75"/>
        <v>0</v>
      </c>
      <c r="AH21" s="343" t="str">
        <f t="shared" si="9"/>
        <v>OK</v>
      </c>
      <c r="AI21" s="7"/>
      <c r="AJ21" s="189" t="str">
        <f t="shared" si="76"/>
        <v/>
      </c>
      <c r="AK21" s="320" t="str">
        <f t="shared" si="77"/>
        <v/>
      </c>
      <c r="AL21" s="320" t="str">
        <f t="shared" si="78"/>
        <v/>
      </c>
      <c r="AM21" s="320" t="str">
        <f t="shared" si="79"/>
        <v/>
      </c>
      <c r="AN21" s="320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26" t="str">
        <f>IF(D22="","",COUNTA($C$7:C22)-COUNTBLANK($C$7:C22)+4)</f>
        <v/>
      </c>
      <c r="B22" s="127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27" t="str">
        <f>IF(D22="","",IF(OR(D22="교육지원과",D22="총무과",D22="인사과"),"직접입력",VLOOKUP(D22,구분표!$A$3:$C$258,3,)))</f>
        <v/>
      </c>
      <c r="D22" s="194"/>
      <c r="E22" s="181"/>
      <c r="F22" s="350" t="str">
        <f t="shared" si="80"/>
        <v/>
      </c>
      <c r="G22" s="350" t="str">
        <f t="shared" si="80"/>
        <v/>
      </c>
      <c r="H22" s="181"/>
      <c r="I22" s="127" t="str">
        <f>IF(H22="","",VLOOKUP($H22,구분표!$K$3:$M$147,2,FALSE))</f>
        <v/>
      </c>
      <c r="J22" s="127" t="str">
        <f>IF(I22="","",VLOOKUP($H22,구분표!$K$3:$M$147,3,FALSE))</f>
        <v/>
      </c>
      <c r="K22" s="201"/>
      <c r="L22" s="201"/>
      <c r="M22" s="419" t="str">
        <f t="shared" si="81"/>
        <v/>
      </c>
      <c r="N22" s="419" t="str">
        <f t="shared" si="82"/>
        <v/>
      </c>
      <c r="O22" s="421" t="str">
        <f t="shared" si="67"/>
        <v/>
      </c>
      <c r="P22" s="420"/>
      <c r="Q22" s="421">
        <f t="shared" si="68"/>
        <v>0</v>
      </c>
      <c r="R22" s="422"/>
      <c r="S22" s="423">
        <f t="shared" si="69"/>
        <v>0</v>
      </c>
      <c r="T22" s="133" t="str">
        <f t="shared" si="70"/>
        <v>X</v>
      </c>
      <c r="U22" s="198"/>
      <c r="V22" s="192"/>
      <c r="W22" s="185"/>
      <c r="X22" s="202"/>
      <c r="Y22" s="185"/>
      <c r="Z22" s="320" t="str">
        <f t="shared" si="71"/>
        <v/>
      </c>
      <c r="AA22" s="60"/>
      <c r="AB22" s="446" t="str">
        <f t="shared" si="72"/>
        <v/>
      </c>
      <c r="AC22" s="447">
        <f t="shared" si="73"/>
        <v>0</v>
      </c>
      <c r="AD22" s="320" t="str">
        <f t="shared" si="8"/>
        <v>OK</v>
      </c>
      <c r="AE22" s="7"/>
      <c r="AF22" s="462" t="str">
        <f t="shared" si="74"/>
        <v/>
      </c>
      <c r="AG22" s="463">
        <f t="shared" si="75"/>
        <v>0</v>
      </c>
      <c r="AH22" s="343" t="str">
        <f t="shared" si="9"/>
        <v>OK</v>
      </c>
      <c r="AI22" s="7"/>
      <c r="AJ22" s="189" t="str">
        <f t="shared" si="76"/>
        <v/>
      </c>
      <c r="AK22" s="320" t="str">
        <f t="shared" si="77"/>
        <v/>
      </c>
      <c r="AL22" s="320" t="str">
        <f t="shared" si="78"/>
        <v/>
      </c>
      <c r="AM22" s="320" t="str">
        <f t="shared" si="79"/>
        <v/>
      </c>
      <c r="AN22" s="320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37"/>
      <c r="B23" s="962" t="s">
        <v>778</v>
      </c>
      <c r="C23" s="962"/>
      <c r="D23" s="962"/>
      <c r="E23" s="962"/>
      <c r="F23" s="962"/>
      <c r="G23" s="962"/>
      <c r="H23" s="962"/>
      <c r="I23" s="962"/>
      <c r="J23" s="962"/>
      <c r="K23" s="82"/>
      <c r="L23" s="326" t="str">
        <f>SUBTOTAL(3,L24:L26)&amp;"건"</f>
        <v>0건</v>
      </c>
      <c r="M23" s="437">
        <f t="shared" ref="M23:S23" si="83">SUBTOTAL(9,M24:M26)</f>
        <v>0</v>
      </c>
      <c r="N23" s="437">
        <f t="shared" si="83"/>
        <v>0</v>
      </c>
      <c r="O23" s="437">
        <f t="shared" si="83"/>
        <v>0</v>
      </c>
      <c r="P23" s="437">
        <f t="shared" si="83"/>
        <v>0</v>
      </c>
      <c r="Q23" s="437">
        <f t="shared" si="83"/>
        <v>0</v>
      </c>
      <c r="R23" s="437">
        <f t="shared" si="83"/>
        <v>0</v>
      </c>
      <c r="S23" s="437">
        <f t="shared" si="83"/>
        <v>0</v>
      </c>
      <c r="T23" s="81"/>
      <c r="U23" s="83"/>
      <c r="V23" s="83"/>
      <c r="W23" s="84"/>
      <c r="X23" s="148"/>
      <c r="Y23" s="85"/>
      <c r="Z23" s="81"/>
      <c r="AA23" s="43"/>
      <c r="AB23" s="437">
        <f t="shared" ref="AB23:AC23" si="84">SUBTOTAL(9,AB24:AB26)</f>
        <v>0</v>
      </c>
      <c r="AC23" s="437">
        <f t="shared" si="84"/>
        <v>0</v>
      </c>
      <c r="AD23" s="511" t="str">
        <f>IF(COUNTIF(AD24:AD26,"@@")&gt;0,"@@","OK")</f>
        <v>OK</v>
      </c>
      <c r="AE23" s="52"/>
      <c r="AF23" s="437">
        <f t="shared" ref="AF23:AG23" si="85">SUBTOTAL(9,AF24:AF26)</f>
        <v>0</v>
      </c>
      <c r="AG23" s="437">
        <f t="shared" si="85"/>
        <v>0</v>
      </c>
      <c r="AH23" s="511" t="str">
        <f>IF(COUNTIF(AH24:AH26,"@@")&gt;0,"@@","OK")</f>
        <v>OK</v>
      </c>
      <c r="AI23" s="43"/>
      <c r="AJ23" s="80"/>
      <c r="AK23" s="80"/>
      <c r="AL23" s="511" t="str">
        <f>IF(COUNTIF(AL24:AL26,"@@")&gt;0,"@@","OK")</f>
        <v>OK</v>
      </c>
      <c r="AM23" s="80"/>
      <c r="AN23" s="511" t="str">
        <f>IF(COUNTIF(AN24:AN26,"@@")&gt;0,"@@","OK")</f>
        <v>OK</v>
      </c>
    </row>
    <row r="24" spans="1:40" s="19" customFormat="1" ht="80.099999999999994" customHeight="1">
      <c r="A24" s="126" t="str">
        <f>IF(D24="","",COUNTA($C$7:C24)-COUNTBLANK($C$7:C24)+5)</f>
        <v/>
      </c>
      <c r="B24" s="127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27" t="str">
        <f>IF(D24="","",IF(OR(D24="교육지원과",D24="총무과",D24="인사과"),"직접입력",VLOOKUP(D24,구분표!$A$3:$C$258,3,)))</f>
        <v/>
      </c>
      <c r="D24" s="194"/>
      <c r="E24" s="181"/>
      <c r="F24" s="350" t="str">
        <f>IF($E24="","",IF($E24="2추","직접입력","-"))</f>
        <v/>
      </c>
      <c r="G24" s="350" t="str">
        <f>IF($E24="","",IF($E24="2추","직접입력","-"))</f>
        <v/>
      </c>
      <c r="H24" s="181"/>
      <c r="I24" s="127" t="str">
        <f>IF(H24="","",VLOOKUP($H24,구분표!$K$3:$M$147,2,FALSE))</f>
        <v/>
      </c>
      <c r="J24" s="127" t="str">
        <f>IF(I24="","",VLOOKUP($H24,구분표!$K$3:$M$147,3,FALSE))</f>
        <v/>
      </c>
      <c r="K24" s="201"/>
      <c r="L24" s="201"/>
      <c r="M24" s="419" t="str">
        <f>IF($E24="","",IF(OR($E24="2추", $E24="1추", $E24="본예산"), "금액입력", "-"))</f>
        <v/>
      </c>
      <c r="N24" s="419" t="str">
        <f>IF($E24="", "", IF($E24="2추","금액입력", "-"))</f>
        <v/>
      </c>
      <c r="O24" s="421" t="str">
        <f t="shared" ref="O24:O26" si="86">IF($E24="","",SUM(M24:N24))</f>
        <v/>
      </c>
      <c r="P24" s="420"/>
      <c r="Q24" s="421">
        <f t="shared" ref="Q24:Q26" si="87">SUM(O24:P24)</f>
        <v>0</v>
      </c>
      <c r="R24" s="422"/>
      <c r="S24" s="423">
        <f t="shared" ref="S24:S26" si="88">SUM(O24,R24)</f>
        <v>0</v>
      </c>
      <c r="T24" s="133" t="str">
        <f t="shared" ref="T24:T26" si="89">IF(AND((Q24=0),(S24&gt;0)),"O",IF(AND((P24&lt;0),(Q24-S24&lt;0)),"O","X"))</f>
        <v>X</v>
      </c>
      <c r="U24" s="198"/>
      <c r="V24" s="192"/>
      <c r="W24" s="185"/>
      <c r="X24" s="202"/>
      <c r="Y24" s="185"/>
      <c r="Z24" s="320" t="str">
        <f t="shared" ref="Z24:Z26" si="90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46" t="str">
        <f t="shared" ref="AB24:AB26" si="91">IF($Z24="","",IF($Z24="국도비","금액입력",0))</f>
        <v/>
      </c>
      <c r="AC24" s="447">
        <f t="shared" ref="AC24:AC26" si="92">IFERROR(P24-AB24,0)</f>
        <v>0</v>
      </c>
      <c r="AD24" s="320" t="str">
        <f t="shared" si="8"/>
        <v>OK</v>
      </c>
      <c r="AE24" s="7"/>
      <c r="AF24" s="462" t="str">
        <f t="shared" ref="AF24:AF26" si="93">IF($Z24="","",IF($Z24="국도비","금액입력",0))</f>
        <v/>
      </c>
      <c r="AG24" s="463">
        <f t="shared" ref="AG24:AG26" si="94">IFERROR(R24-AF24,0)</f>
        <v>0</v>
      </c>
      <c r="AH24" s="343" t="str">
        <f t="shared" si="9"/>
        <v>OK</v>
      </c>
      <c r="AI24" s="7"/>
      <c r="AJ24" s="189" t="str">
        <f t="shared" ref="AJ24:AJ26" si="95">IF($Z24="","",IF($Z24="도비","-","세입번호입력"))</f>
        <v/>
      </c>
      <c r="AK24" s="320" t="str">
        <f t="shared" ref="AK24:AK26" si="96">IF(OR(AJ24="",AJ24="-",AJ24="세입번호입력"),"", COUNTIF($AJ$7:$AJ$1013,AJ24))</f>
        <v/>
      </c>
      <c r="AL24" s="320" t="str">
        <f t="shared" ref="AL24:AL26" si="97">IF($AJ24="","",IF($Z24="도비", "OK",IF(AND($Z24="국도비",$AJ24="세입없음"),"OK", IF(AND($Z24="국도비",$AJ24="세입번호입력"),"@@","OK"))))</f>
        <v/>
      </c>
      <c r="AM24" s="320" t="str">
        <f t="shared" ref="AM24:AM26" si="98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20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26" t="str">
        <f>IF(D25="","",COUNTA($C$7:C25)-COUNTBLANK($C$7:C25)+5)</f>
        <v/>
      </c>
      <c r="B25" s="127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27" t="str">
        <f>IF(D25="","",IF(OR(D25="교육지원과",D25="총무과",D25="인사과"),"직접입력",VLOOKUP(D25,구분표!$A$3:$C$258,3,)))</f>
        <v/>
      </c>
      <c r="D25" s="194"/>
      <c r="E25" s="181"/>
      <c r="F25" s="350" t="str">
        <f t="shared" ref="F25:G26" si="99">IF($E25="","",IF($E25="2추","직접입력","-"))</f>
        <v/>
      </c>
      <c r="G25" s="350" t="str">
        <f t="shared" si="99"/>
        <v/>
      </c>
      <c r="H25" s="181"/>
      <c r="I25" s="127" t="str">
        <f>IF(H25="","",VLOOKUP($H25,구분표!$K$3:$M$147,2,FALSE))</f>
        <v/>
      </c>
      <c r="J25" s="127" t="str">
        <f>IF(I25="","",VLOOKUP($H25,구분표!$K$3:$M$147,3,FALSE))</f>
        <v/>
      </c>
      <c r="K25" s="201"/>
      <c r="L25" s="201"/>
      <c r="M25" s="419" t="str">
        <f t="shared" ref="M25:M26" si="100">IF($E25="","",IF(OR($E25="2추", $E25="1추", $E25="본예산"), "금액입력", "-"))</f>
        <v/>
      </c>
      <c r="N25" s="419" t="str">
        <f t="shared" ref="N25:N26" si="101">IF($E25="", "", IF($E25="2추","금액입력", "-"))</f>
        <v/>
      </c>
      <c r="O25" s="421" t="str">
        <f t="shared" si="86"/>
        <v/>
      </c>
      <c r="P25" s="420"/>
      <c r="Q25" s="421">
        <f t="shared" si="87"/>
        <v>0</v>
      </c>
      <c r="R25" s="422"/>
      <c r="S25" s="423">
        <f t="shared" si="88"/>
        <v>0</v>
      </c>
      <c r="T25" s="133" t="str">
        <f t="shared" si="89"/>
        <v>X</v>
      </c>
      <c r="U25" s="198"/>
      <c r="V25" s="192"/>
      <c r="W25" s="185"/>
      <c r="X25" s="202"/>
      <c r="Y25" s="185"/>
      <c r="Z25" s="320" t="str">
        <f t="shared" si="90"/>
        <v/>
      </c>
      <c r="AA25" s="60"/>
      <c r="AB25" s="446" t="str">
        <f t="shared" si="91"/>
        <v/>
      </c>
      <c r="AC25" s="447">
        <f t="shared" si="92"/>
        <v>0</v>
      </c>
      <c r="AD25" s="320" t="str">
        <f t="shared" si="8"/>
        <v>OK</v>
      </c>
      <c r="AE25" s="7"/>
      <c r="AF25" s="462" t="str">
        <f t="shared" si="93"/>
        <v/>
      </c>
      <c r="AG25" s="463">
        <f t="shared" si="94"/>
        <v>0</v>
      </c>
      <c r="AH25" s="343" t="str">
        <f t="shared" si="9"/>
        <v>OK</v>
      </c>
      <c r="AI25" s="7"/>
      <c r="AJ25" s="189" t="str">
        <f t="shared" si="95"/>
        <v/>
      </c>
      <c r="AK25" s="320" t="str">
        <f t="shared" si="96"/>
        <v/>
      </c>
      <c r="AL25" s="320" t="str">
        <f t="shared" si="97"/>
        <v/>
      </c>
      <c r="AM25" s="320" t="str">
        <f t="shared" si="98"/>
        <v/>
      </c>
      <c r="AN25" s="320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26" t="str">
        <f>IF(D26="","",COUNTA($C$7:C26)-COUNTBLANK($C$7:C26)+5)</f>
        <v/>
      </c>
      <c r="B26" s="127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27" t="str">
        <f>IF(D26="","",IF(OR(D26="교육지원과",D26="총무과",D26="인사과"),"직접입력",VLOOKUP(D26,구분표!$A$3:$C$258,3,)))</f>
        <v/>
      </c>
      <c r="D26" s="194"/>
      <c r="E26" s="181"/>
      <c r="F26" s="350" t="str">
        <f t="shared" si="99"/>
        <v/>
      </c>
      <c r="G26" s="350" t="str">
        <f t="shared" si="99"/>
        <v/>
      </c>
      <c r="H26" s="181"/>
      <c r="I26" s="127" t="str">
        <f>IF(H26="","",VLOOKUP($H26,구분표!$K$3:$M$147,2,FALSE))</f>
        <v/>
      </c>
      <c r="J26" s="127" t="str">
        <f>IF(I26="","",VLOOKUP($H26,구분표!$K$3:$M$147,3,FALSE))</f>
        <v/>
      </c>
      <c r="K26" s="201"/>
      <c r="L26" s="201"/>
      <c r="M26" s="419" t="str">
        <f t="shared" si="100"/>
        <v/>
      </c>
      <c r="N26" s="419" t="str">
        <f t="shared" si="101"/>
        <v/>
      </c>
      <c r="O26" s="421" t="str">
        <f t="shared" si="86"/>
        <v/>
      </c>
      <c r="P26" s="420"/>
      <c r="Q26" s="421">
        <f t="shared" si="87"/>
        <v>0</v>
      </c>
      <c r="R26" s="422"/>
      <c r="S26" s="423">
        <f t="shared" si="88"/>
        <v>0</v>
      </c>
      <c r="T26" s="133" t="str">
        <f t="shared" si="89"/>
        <v>X</v>
      </c>
      <c r="U26" s="198"/>
      <c r="V26" s="192"/>
      <c r="W26" s="185"/>
      <c r="X26" s="202"/>
      <c r="Y26" s="185"/>
      <c r="Z26" s="320" t="str">
        <f t="shared" si="90"/>
        <v/>
      </c>
      <c r="AA26" s="60"/>
      <c r="AB26" s="446" t="str">
        <f t="shared" si="91"/>
        <v/>
      </c>
      <c r="AC26" s="447">
        <f t="shared" si="92"/>
        <v>0</v>
      </c>
      <c r="AD26" s="320" t="str">
        <f t="shared" si="8"/>
        <v>OK</v>
      </c>
      <c r="AE26" s="7"/>
      <c r="AF26" s="462" t="str">
        <f t="shared" si="93"/>
        <v/>
      </c>
      <c r="AG26" s="463">
        <f t="shared" si="94"/>
        <v>0</v>
      </c>
      <c r="AH26" s="343" t="str">
        <f t="shared" si="9"/>
        <v>OK</v>
      </c>
      <c r="AI26" s="7"/>
      <c r="AJ26" s="189" t="str">
        <f t="shared" si="95"/>
        <v/>
      </c>
      <c r="AK26" s="320" t="str">
        <f t="shared" si="96"/>
        <v/>
      </c>
      <c r="AL26" s="320" t="str">
        <f t="shared" si="97"/>
        <v/>
      </c>
      <c r="AM26" s="320" t="str">
        <f t="shared" si="98"/>
        <v/>
      </c>
      <c r="AN26" s="320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37"/>
      <c r="B27" s="962" t="s">
        <v>779</v>
      </c>
      <c r="C27" s="962"/>
      <c r="D27" s="962"/>
      <c r="E27" s="962"/>
      <c r="F27" s="962"/>
      <c r="G27" s="962"/>
      <c r="H27" s="962"/>
      <c r="I27" s="962"/>
      <c r="J27" s="962"/>
      <c r="K27" s="82"/>
      <c r="L27" s="326" t="str">
        <f>SUBTOTAL(3,L28:L30)&amp;"건"</f>
        <v>0건</v>
      </c>
      <c r="M27" s="437">
        <f t="shared" ref="M27:S27" si="102">SUBTOTAL(9,M28:M30)</f>
        <v>0</v>
      </c>
      <c r="N27" s="437">
        <f t="shared" si="102"/>
        <v>0</v>
      </c>
      <c r="O27" s="437">
        <f t="shared" si="102"/>
        <v>0</v>
      </c>
      <c r="P27" s="437">
        <f t="shared" si="102"/>
        <v>0</v>
      </c>
      <c r="Q27" s="437">
        <f t="shared" si="102"/>
        <v>0</v>
      </c>
      <c r="R27" s="437">
        <f t="shared" si="102"/>
        <v>0</v>
      </c>
      <c r="S27" s="437">
        <f t="shared" si="102"/>
        <v>0</v>
      </c>
      <c r="T27" s="81"/>
      <c r="U27" s="83"/>
      <c r="V27" s="83"/>
      <c r="W27" s="84"/>
      <c r="X27" s="148"/>
      <c r="Y27" s="85"/>
      <c r="Z27" s="81"/>
      <c r="AA27" s="43"/>
      <c r="AB27" s="437">
        <f t="shared" ref="AB27:AC27" si="103">SUBTOTAL(9,AB28:AB30)</f>
        <v>0</v>
      </c>
      <c r="AC27" s="437">
        <f t="shared" si="103"/>
        <v>0</v>
      </c>
      <c r="AD27" s="511" t="str">
        <f>IF(COUNTIF(AD28:AD30,"@@")&gt;0,"@@","OK")</f>
        <v>OK</v>
      </c>
      <c r="AE27" s="52"/>
      <c r="AF27" s="437">
        <f t="shared" ref="AF27:AG27" si="104">SUBTOTAL(9,AF28:AF30)</f>
        <v>0</v>
      </c>
      <c r="AG27" s="437">
        <f t="shared" si="104"/>
        <v>0</v>
      </c>
      <c r="AH27" s="511" t="str">
        <f>IF(COUNTIF(AH28:AH30,"@@")&gt;0,"@@","OK")</f>
        <v>OK</v>
      </c>
      <c r="AI27" s="43"/>
      <c r="AJ27" s="80"/>
      <c r="AK27" s="80"/>
      <c r="AL27" s="511" t="str">
        <f>IF(COUNTIF(AL28:AL30,"@@")&gt;0,"@@","OK")</f>
        <v>OK</v>
      </c>
      <c r="AM27" s="80"/>
      <c r="AN27" s="511" t="str">
        <f>IF(COUNTIF(AN28:AN30,"@@")&gt;0,"@@","OK")</f>
        <v>OK</v>
      </c>
    </row>
    <row r="28" spans="1:40" s="19" customFormat="1" ht="80.099999999999994" customHeight="1">
      <c r="A28" s="126" t="str">
        <f>IF(D28="","",COUNTA($C$7:C28)-COUNTBLANK($C$7:C28)+6)</f>
        <v/>
      </c>
      <c r="B28" s="127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27" t="str">
        <f>IF(D28="","",IF(OR(D28="교육지원과",D28="총무과",D28="인사과"),"직접입력",VLOOKUP(D28,구분표!$A$3:$C$258,3,)))</f>
        <v/>
      </c>
      <c r="D28" s="194"/>
      <c r="E28" s="181"/>
      <c r="F28" s="350" t="str">
        <f>IF($E28="","",IF($E28="2추","직접입력","-"))</f>
        <v/>
      </c>
      <c r="G28" s="350" t="str">
        <f>IF($E28="","",IF($E28="2추","직접입력","-"))</f>
        <v/>
      </c>
      <c r="H28" s="181"/>
      <c r="I28" s="127" t="str">
        <f>IF(H28="","",VLOOKUP($H28,구분표!$K$3:$M$147,2,FALSE))</f>
        <v/>
      </c>
      <c r="J28" s="127" t="str">
        <f>IF(I28="","",VLOOKUP($H28,구분표!$K$3:$M$147,3,FALSE))</f>
        <v/>
      </c>
      <c r="K28" s="201"/>
      <c r="L28" s="201"/>
      <c r="M28" s="419" t="str">
        <f>IF($E28="","",IF(OR($E28="2추", $E28="1추", $E28="본예산"), "금액입력", "-"))</f>
        <v/>
      </c>
      <c r="N28" s="419" t="str">
        <f>IF($E28="", "", IF($E28="2추","금액입력", "-"))</f>
        <v/>
      </c>
      <c r="O28" s="421" t="str">
        <f t="shared" ref="O28:O30" si="105">IF($E28="","",SUM(M28:N28))</f>
        <v/>
      </c>
      <c r="P28" s="420"/>
      <c r="Q28" s="421">
        <f t="shared" ref="Q28:Q30" si="106">SUM(O28:P28)</f>
        <v>0</v>
      </c>
      <c r="R28" s="422"/>
      <c r="S28" s="423">
        <f t="shared" ref="S28:S30" si="107">SUM(O28,R28)</f>
        <v>0</v>
      </c>
      <c r="T28" s="133" t="str">
        <f t="shared" ref="T28:T30" si="108">IF(AND((Q28=0),(S28&gt;0)),"O",IF(AND((P28&lt;0),(Q28-S28&lt;0)),"O","X"))</f>
        <v>X</v>
      </c>
      <c r="U28" s="198"/>
      <c r="V28" s="192"/>
      <c r="W28" s="185"/>
      <c r="X28" s="202"/>
      <c r="Y28" s="185"/>
      <c r="Z28" s="320" t="str">
        <f t="shared" ref="Z28:Z30" si="109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46" t="str">
        <f t="shared" ref="AB28:AB30" si="110">IF($Z28="","",IF($Z28="국도비","금액입력",0))</f>
        <v/>
      </c>
      <c r="AC28" s="447">
        <f t="shared" ref="AC28:AC30" si="111">IFERROR(P28-AB28,0)</f>
        <v>0</v>
      </c>
      <c r="AD28" s="320" t="str">
        <f t="shared" si="8"/>
        <v>OK</v>
      </c>
      <c r="AE28" s="7"/>
      <c r="AF28" s="462" t="str">
        <f t="shared" ref="AF28:AF30" si="112">IF($Z28="","",IF($Z28="국도비","금액입력",0))</f>
        <v/>
      </c>
      <c r="AG28" s="463">
        <f t="shared" ref="AG28:AG30" si="113">IFERROR(R28-AF28,0)</f>
        <v>0</v>
      </c>
      <c r="AH28" s="343" t="str">
        <f t="shared" si="9"/>
        <v>OK</v>
      </c>
      <c r="AI28" s="7"/>
      <c r="AJ28" s="189" t="str">
        <f t="shared" ref="AJ28:AJ30" si="114">IF($Z28="","",IF($Z28="도비","-","세입번호입력"))</f>
        <v/>
      </c>
      <c r="AK28" s="320" t="str">
        <f t="shared" ref="AK28:AK30" si="115">IF(OR(AJ28="",AJ28="-",AJ28="세입번호입력"),"", COUNTIF($AJ$7:$AJ$1013,AJ28))</f>
        <v/>
      </c>
      <c r="AL28" s="320" t="str">
        <f t="shared" ref="AL28:AL30" si="116">IF($AJ28="","",IF($Z28="도비", "OK",IF(AND($Z28="국도비",$AJ28="세입없음"),"OK", IF(AND($Z28="국도비",$AJ28="세입번호입력"),"@@","OK"))))</f>
        <v/>
      </c>
      <c r="AM28" s="320" t="str">
        <f t="shared" ref="AM28:AM30" si="117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20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26" t="str">
        <f>IF(D29="","",COUNTA($C$7:C29)-COUNTBLANK($C$7:C29)+6)</f>
        <v/>
      </c>
      <c r="B29" s="127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27" t="str">
        <f>IF(D29="","",IF(OR(D29="교육지원과",D29="총무과",D29="인사과"),"직접입력",VLOOKUP(D29,구분표!$A$3:$C$258,3,)))</f>
        <v/>
      </c>
      <c r="D29" s="194"/>
      <c r="E29" s="181"/>
      <c r="F29" s="350" t="str">
        <f t="shared" ref="F29:G30" si="118">IF($E29="","",IF($E29="2추","직접입력","-"))</f>
        <v/>
      </c>
      <c r="G29" s="350" t="str">
        <f t="shared" si="118"/>
        <v/>
      </c>
      <c r="H29" s="181"/>
      <c r="I29" s="127" t="str">
        <f>IF(H29="","",VLOOKUP($H29,구분표!$K$3:$M$147,2,FALSE))</f>
        <v/>
      </c>
      <c r="J29" s="127" t="str">
        <f>IF(I29="","",VLOOKUP($H29,구분표!$K$3:$M$147,3,FALSE))</f>
        <v/>
      </c>
      <c r="K29" s="201"/>
      <c r="L29" s="201"/>
      <c r="M29" s="419" t="str">
        <f t="shared" ref="M29:M30" si="119">IF($E29="","",IF(OR($E29="2추", $E29="1추", $E29="본예산"), "금액입력", "-"))</f>
        <v/>
      </c>
      <c r="N29" s="419" t="str">
        <f t="shared" ref="N29:N30" si="120">IF($E29="", "", IF($E29="2추","금액입력", "-"))</f>
        <v/>
      </c>
      <c r="O29" s="421" t="str">
        <f t="shared" si="105"/>
        <v/>
      </c>
      <c r="P29" s="420"/>
      <c r="Q29" s="421">
        <f t="shared" si="106"/>
        <v>0</v>
      </c>
      <c r="R29" s="422"/>
      <c r="S29" s="423">
        <f t="shared" si="107"/>
        <v>0</v>
      </c>
      <c r="T29" s="133" t="str">
        <f t="shared" si="108"/>
        <v>X</v>
      </c>
      <c r="U29" s="198"/>
      <c r="V29" s="192"/>
      <c r="W29" s="185"/>
      <c r="X29" s="202"/>
      <c r="Y29" s="185"/>
      <c r="Z29" s="320" t="str">
        <f t="shared" si="109"/>
        <v/>
      </c>
      <c r="AA29" s="60"/>
      <c r="AB29" s="446" t="str">
        <f t="shared" si="110"/>
        <v/>
      </c>
      <c r="AC29" s="447">
        <f t="shared" si="111"/>
        <v>0</v>
      </c>
      <c r="AD29" s="320" t="str">
        <f t="shared" si="8"/>
        <v>OK</v>
      </c>
      <c r="AE29" s="7"/>
      <c r="AF29" s="462" t="str">
        <f t="shared" si="112"/>
        <v/>
      </c>
      <c r="AG29" s="463">
        <f t="shared" si="113"/>
        <v>0</v>
      </c>
      <c r="AH29" s="343" t="str">
        <f t="shared" si="9"/>
        <v>OK</v>
      </c>
      <c r="AI29" s="7"/>
      <c r="AJ29" s="189" t="str">
        <f t="shared" si="114"/>
        <v/>
      </c>
      <c r="AK29" s="320" t="str">
        <f t="shared" si="115"/>
        <v/>
      </c>
      <c r="AL29" s="320" t="str">
        <f t="shared" si="116"/>
        <v/>
      </c>
      <c r="AM29" s="320" t="str">
        <f t="shared" si="117"/>
        <v/>
      </c>
      <c r="AN29" s="320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26" t="str">
        <f>IF(D30="","",COUNTA($C$7:C30)-COUNTBLANK($C$7:C30)+6)</f>
        <v/>
      </c>
      <c r="B30" s="127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27" t="str">
        <f>IF(D30="","",IF(OR(D30="교육지원과",D30="총무과",D30="인사과"),"직접입력",VLOOKUP(D30,구분표!$A$3:$C$258,3,)))</f>
        <v/>
      </c>
      <c r="D30" s="194"/>
      <c r="E30" s="181"/>
      <c r="F30" s="350" t="str">
        <f t="shared" si="118"/>
        <v/>
      </c>
      <c r="G30" s="350" t="str">
        <f t="shared" si="118"/>
        <v/>
      </c>
      <c r="H30" s="181"/>
      <c r="I30" s="127" t="str">
        <f>IF(H30="","",VLOOKUP($H30,구분표!$K$3:$M$147,2,FALSE))</f>
        <v/>
      </c>
      <c r="J30" s="127" t="str">
        <f>IF(I30="","",VLOOKUP($H30,구분표!$K$3:$M$147,3,FALSE))</f>
        <v/>
      </c>
      <c r="K30" s="201"/>
      <c r="L30" s="201"/>
      <c r="M30" s="419" t="str">
        <f t="shared" si="119"/>
        <v/>
      </c>
      <c r="N30" s="419" t="str">
        <f t="shared" si="120"/>
        <v/>
      </c>
      <c r="O30" s="421" t="str">
        <f t="shared" si="105"/>
        <v/>
      </c>
      <c r="P30" s="420"/>
      <c r="Q30" s="421">
        <f t="shared" si="106"/>
        <v>0</v>
      </c>
      <c r="R30" s="422"/>
      <c r="S30" s="423">
        <f t="shared" si="107"/>
        <v>0</v>
      </c>
      <c r="T30" s="133" t="str">
        <f t="shared" si="108"/>
        <v>X</v>
      </c>
      <c r="U30" s="198"/>
      <c r="V30" s="192"/>
      <c r="W30" s="185"/>
      <c r="X30" s="202"/>
      <c r="Y30" s="185"/>
      <c r="Z30" s="320" t="str">
        <f t="shared" si="109"/>
        <v/>
      </c>
      <c r="AA30" s="60"/>
      <c r="AB30" s="446" t="str">
        <f t="shared" si="110"/>
        <v/>
      </c>
      <c r="AC30" s="447">
        <f t="shared" si="111"/>
        <v>0</v>
      </c>
      <c r="AD30" s="320" t="str">
        <f t="shared" si="8"/>
        <v>OK</v>
      </c>
      <c r="AE30" s="7"/>
      <c r="AF30" s="462" t="str">
        <f t="shared" si="112"/>
        <v/>
      </c>
      <c r="AG30" s="463">
        <f t="shared" si="113"/>
        <v>0</v>
      </c>
      <c r="AH30" s="343" t="str">
        <f t="shared" si="9"/>
        <v>OK</v>
      </c>
      <c r="AI30" s="7"/>
      <c r="AJ30" s="189" t="str">
        <f t="shared" si="114"/>
        <v/>
      </c>
      <c r="AK30" s="320" t="str">
        <f t="shared" si="115"/>
        <v/>
      </c>
      <c r="AL30" s="320" t="str">
        <f t="shared" si="116"/>
        <v/>
      </c>
      <c r="AM30" s="320" t="str">
        <f t="shared" si="117"/>
        <v/>
      </c>
      <c r="AN30" s="320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37"/>
      <c r="B31" s="962" t="s">
        <v>780</v>
      </c>
      <c r="C31" s="962"/>
      <c r="D31" s="962"/>
      <c r="E31" s="962"/>
      <c r="F31" s="962"/>
      <c r="G31" s="962"/>
      <c r="H31" s="962"/>
      <c r="I31" s="962"/>
      <c r="J31" s="962"/>
      <c r="K31" s="82"/>
      <c r="L31" s="326" t="str">
        <f>SUBTOTAL(3,L32:L34)&amp;"건"</f>
        <v>0건</v>
      </c>
      <c r="M31" s="437">
        <f t="shared" ref="M31:S31" si="121">SUBTOTAL(9,M32:M34)</f>
        <v>0</v>
      </c>
      <c r="N31" s="437">
        <f t="shared" si="121"/>
        <v>0</v>
      </c>
      <c r="O31" s="437">
        <f t="shared" si="121"/>
        <v>0</v>
      </c>
      <c r="P31" s="437">
        <f t="shared" si="121"/>
        <v>0</v>
      </c>
      <c r="Q31" s="437">
        <f t="shared" si="121"/>
        <v>0</v>
      </c>
      <c r="R31" s="437">
        <f t="shared" si="121"/>
        <v>0</v>
      </c>
      <c r="S31" s="437">
        <f t="shared" si="121"/>
        <v>0</v>
      </c>
      <c r="T31" s="81"/>
      <c r="U31" s="83"/>
      <c r="V31" s="83"/>
      <c r="W31" s="84"/>
      <c r="X31" s="148"/>
      <c r="Y31" s="85"/>
      <c r="Z31" s="81"/>
      <c r="AA31" s="43"/>
      <c r="AB31" s="437">
        <f t="shared" ref="AB31:AC31" si="122">SUBTOTAL(9,AB32:AB34)</f>
        <v>0</v>
      </c>
      <c r="AC31" s="437">
        <f t="shared" si="122"/>
        <v>0</v>
      </c>
      <c r="AD31" s="511" t="str">
        <f>IF(COUNTIF(AD32:AD34,"@@")&gt;0,"@@","OK")</f>
        <v>OK</v>
      </c>
      <c r="AE31" s="52"/>
      <c r="AF31" s="437">
        <f t="shared" ref="AF31:AG31" si="123">SUBTOTAL(9,AF32:AF34)</f>
        <v>0</v>
      </c>
      <c r="AG31" s="437">
        <f t="shared" si="123"/>
        <v>0</v>
      </c>
      <c r="AH31" s="511" t="str">
        <f>IF(COUNTIF(AH32:AH34,"@@")&gt;0,"@@","OK")</f>
        <v>OK</v>
      </c>
      <c r="AI31" s="43"/>
      <c r="AJ31" s="80"/>
      <c r="AK31" s="80"/>
      <c r="AL31" s="511" t="str">
        <f>IF(COUNTIF(AL32:AL34,"@@")&gt;0,"@@","OK")</f>
        <v>OK</v>
      </c>
      <c r="AM31" s="80"/>
      <c r="AN31" s="511" t="str">
        <f>IF(COUNTIF(AN32:AN34,"@@")&gt;0,"@@","OK")</f>
        <v>OK</v>
      </c>
    </row>
    <row r="32" spans="1:40" s="19" customFormat="1" ht="80.099999999999994" customHeight="1">
      <c r="A32" s="126" t="str">
        <f>IF(D32="","",COUNTA($C$7:C32)-COUNTBLANK($C$7:C32)+7)</f>
        <v/>
      </c>
      <c r="B32" s="127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27" t="str">
        <f>IF(D32="","",IF(OR(D32="교육지원과",D32="총무과",D32="인사과"),"직접입력",VLOOKUP(D32,구분표!$A$3:$C$258,3,)))</f>
        <v/>
      </c>
      <c r="D32" s="194"/>
      <c r="E32" s="181"/>
      <c r="F32" s="350" t="str">
        <f>IF($E32="","",IF($E32="2추","직접입력","-"))</f>
        <v/>
      </c>
      <c r="G32" s="350" t="str">
        <f>IF($E32="","",IF($E32="2추","직접입력","-"))</f>
        <v/>
      </c>
      <c r="H32" s="181"/>
      <c r="I32" s="127" t="str">
        <f>IF(H32="","",VLOOKUP($H32,구분표!$K$3:$M$147,2,FALSE))</f>
        <v/>
      </c>
      <c r="J32" s="127" t="str">
        <f>IF(I32="","",VLOOKUP($H32,구분표!$K$3:$M$147,3,FALSE))</f>
        <v/>
      </c>
      <c r="K32" s="201"/>
      <c r="L32" s="201"/>
      <c r="M32" s="419" t="str">
        <f>IF($E32="","",IF(OR($E32="2추", $E32="1추", $E32="본예산"), "금액입력", "-"))</f>
        <v/>
      </c>
      <c r="N32" s="419" t="str">
        <f>IF($E32="", "", IF($E32="2추","금액입력", "-"))</f>
        <v/>
      </c>
      <c r="O32" s="421" t="str">
        <f t="shared" ref="O32:O34" si="124">IF($E32="","",SUM(M32:N32))</f>
        <v/>
      </c>
      <c r="P32" s="420"/>
      <c r="Q32" s="421">
        <f t="shared" ref="Q32:Q34" si="125">SUM(O32:P32)</f>
        <v>0</v>
      </c>
      <c r="R32" s="422"/>
      <c r="S32" s="423">
        <f t="shared" ref="S32:S34" si="126">SUM(O32,R32)</f>
        <v>0</v>
      </c>
      <c r="T32" s="133" t="str">
        <f t="shared" ref="T32:T34" si="127">IF(AND((Q32=0),(S32&gt;0)),"O",IF(AND((P32&lt;0),(Q32-S32&lt;0)),"O","X"))</f>
        <v>X</v>
      </c>
      <c r="U32" s="198"/>
      <c r="V32" s="192"/>
      <c r="W32" s="185"/>
      <c r="X32" s="202"/>
      <c r="Y32" s="185"/>
      <c r="Z32" s="320" t="str">
        <f t="shared" ref="Z32:Z34" si="128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46" t="str">
        <f t="shared" ref="AB32:AB34" si="129">IF($Z32="","",IF($Z32="국도비","금액입력",0))</f>
        <v/>
      </c>
      <c r="AC32" s="447">
        <f t="shared" ref="AC32:AC34" si="130">IFERROR(P32-AB32,0)</f>
        <v>0</v>
      </c>
      <c r="AD32" s="320" t="str">
        <f t="shared" si="8"/>
        <v>OK</v>
      </c>
      <c r="AE32" s="7"/>
      <c r="AF32" s="462" t="str">
        <f t="shared" ref="AF32:AF34" si="131">IF($Z32="","",IF($Z32="국도비","금액입력",0))</f>
        <v/>
      </c>
      <c r="AG32" s="463">
        <f t="shared" ref="AG32:AG34" si="132">IFERROR(R32-AF32,0)</f>
        <v>0</v>
      </c>
      <c r="AH32" s="343" t="str">
        <f t="shared" si="9"/>
        <v>OK</v>
      </c>
      <c r="AI32" s="7"/>
      <c r="AJ32" s="189" t="str">
        <f t="shared" ref="AJ32:AJ34" si="133">IF($Z32="","",IF($Z32="도비","-","세입번호입력"))</f>
        <v/>
      </c>
      <c r="AK32" s="320" t="str">
        <f t="shared" ref="AK32:AK34" si="134">IF(OR(AJ32="",AJ32="-",AJ32="세입번호입력"),"", COUNTIF($AJ$7:$AJ$1013,AJ32))</f>
        <v/>
      </c>
      <c r="AL32" s="320" t="str">
        <f t="shared" ref="AL32:AL34" si="135">IF($AJ32="","",IF($Z32="도비", "OK",IF(AND($Z32="국도비",$AJ32="세입없음"),"OK", IF(AND($Z32="국도비",$AJ32="세입번호입력"),"@@","OK"))))</f>
        <v/>
      </c>
      <c r="AM32" s="320" t="str">
        <f t="shared" ref="AM32:AM34" si="136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20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26" t="str">
        <f>IF(D33="","",COUNTA($C$7:C33)-COUNTBLANK($C$7:C33)+7)</f>
        <v/>
      </c>
      <c r="B33" s="127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27" t="str">
        <f>IF(D33="","",IF(OR(D33="교육지원과",D33="총무과",D33="인사과"),"직접입력",VLOOKUP(D33,구분표!$A$3:$C$258,3,)))</f>
        <v/>
      </c>
      <c r="D33" s="194"/>
      <c r="E33" s="181"/>
      <c r="F33" s="350" t="str">
        <f t="shared" ref="F33:G34" si="137">IF($E33="","",IF($E33="2추","직접입력","-"))</f>
        <v/>
      </c>
      <c r="G33" s="350" t="str">
        <f t="shared" si="137"/>
        <v/>
      </c>
      <c r="H33" s="181"/>
      <c r="I33" s="127" t="str">
        <f>IF(H33="","",VLOOKUP($H33,구분표!$K$3:$M$147,2,FALSE))</f>
        <v/>
      </c>
      <c r="J33" s="127" t="str">
        <f>IF(I33="","",VLOOKUP($H33,구분표!$K$3:$M$147,3,FALSE))</f>
        <v/>
      </c>
      <c r="K33" s="201"/>
      <c r="L33" s="201"/>
      <c r="M33" s="419" t="str">
        <f t="shared" ref="M33:M34" si="138">IF($E33="","",IF(OR($E33="2추", $E33="1추", $E33="본예산"), "금액입력", "-"))</f>
        <v/>
      </c>
      <c r="N33" s="419" t="str">
        <f t="shared" ref="N33:N34" si="139">IF($E33="", "", IF($E33="2추","금액입력", "-"))</f>
        <v/>
      </c>
      <c r="O33" s="421" t="str">
        <f t="shared" si="124"/>
        <v/>
      </c>
      <c r="P33" s="420"/>
      <c r="Q33" s="421">
        <f t="shared" si="125"/>
        <v>0</v>
      </c>
      <c r="R33" s="422"/>
      <c r="S33" s="423">
        <f t="shared" si="126"/>
        <v>0</v>
      </c>
      <c r="T33" s="133" t="str">
        <f t="shared" si="127"/>
        <v>X</v>
      </c>
      <c r="U33" s="198"/>
      <c r="V33" s="192"/>
      <c r="W33" s="185"/>
      <c r="X33" s="202"/>
      <c r="Y33" s="185"/>
      <c r="Z33" s="320" t="str">
        <f t="shared" si="128"/>
        <v/>
      </c>
      <c r="AA33" s="60"/>
      <c r="AB33" s="446" t="str">
        <f t="shared" si="129"/>
        <v/>
      </c>
      <c r="AC33" s="447">
        <f t="shared" si="130"/>
        <v>0</v>
      </c>
      <c r="AD33" s="320" t="str">
        <f t="shared" si="8"/>
        <v>OK</v>
      </c>
      <c r="AE33" s="7"/>
      <c r="AF33" s="462" t="str">
        <f t="shared" si="131"/>
        <v/>
      </c>
      <c r="AG33" s="463">
        <f t="shared" si="132"/>
        <v>0</v>
      </c>
      <c r="AH33" s="343" t="str">
        <f t="shared" si="9"/>
        <v>OK</v>
      </c>
      <c r="AI33" s="7"/>
      <c r="AJ33" s="189" t="str">
        <f t="shared" si="133"/>
        <v/>
      </c>
      <c r="AK33" s="320" t="str">
        <f t="shared" si="134"/>
        <v/>
      </c>
      <c r="AL33" s="320" t="str">
        <f t="shared" si="135"/>
        <v/>
      </c>
      <c r="AM33" s="320" t="str">
        <f t="shared" si="136"/>
        <v/>
      </c>
      <c r="AN33" s="320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26" t="str">
        <f>IF(D34="","",COUNTA($C$7:C34)-COUNTBLANK($C$7:C34)+7)</f>
        <v/>
      </c>
      <c r="B34" s="127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27" t="str">
        <f>IF(D34="","",IF(OR(D34="교육지원과",D34="총무과",D34="인사과"),"직접입력",VLOOKUP(D34,구분표!$A$3:$C$258,3,)))</f>
        <v/>
      </c>
      <c r="D34" s="194"/>
      <c r="E34" s="181"/>
      <c r="F34" s="350" t="str">
        <f t="shared" si="137"/>
        <v/>
      </c>
      <c r="G34" s="350" t="str">
        <f t="shared" si="137"/>
        <v/>
      </c>
      <c r="H34" s="181"/>
      <c r="I34" s="127" t="str">
        <f>IF(H34="","",VLOOKUP($H34,구분표!$K$3:$M$147,2,FALSE))</f>
        <v/>
      </c>
      <c r="J34" s="127" t="str">
        <f>IF(I34="","",VLOOKUP($H34,구분표!$K$3:$M$147,3,FALSE))</f>
        <v/>
      </c>
      <c r="K34" s="201"/>
      <c r="L34" s="201"/>
      <c r="M34" s="419" t="str">
        <f t="shared" si="138"/>
        <v/>
      </c>
      <c r="N34" s="419" t="str">
        <f t="shared" si="139"/>
        <v/>
      </c>
      <c r="O34" s="421" t="str">
        <f t="shared" si="124"/>
        <v/>
      </c>
      <c r="P34" s="420"/>
      <c r="Q34" s="421">
        <f t="shared" si="125"/>
        <v>0</v>
      </c>
      <c r="R34" s="422"/>
      <c r="S34" s="423">
        <f t="shared" si="126"/>
        <v>0</v>
      </c>
      <c r="T34" s="133" t="str">
        <f t="shared" si="127"/>
        <v>X</v>
      </c>
      <c r="U34" s="198"/>
      <c r="V34" s="192"/>
      <c r="W34" s="185"/>
      <c r="X34" s="202"/>
      <c r="Y34" s="185"/>
      <c r="Z34" s="320" t="str">
        <f t="shared" si="128"/>
        <v/>
      </c>
      <c r="AA34" s="60"/>
      <c r="AB34" s="446" t="str">
        <f t="shared" si="129"/>
        <v/>
      </c>
      <c r="AC34" s="447">
        <f t="shared" si="130"/>
        <v>0</v>
      </c>
      <c r="AD34" s="320" t="str">
        <f t="shared" si="8"/>
        <v>OK</v>
      </c>
      <c r="AE34" s="7"/>
      <c r="AF34" s="462" t="str">
        <f t="shared" si="131"/>
        <v/>
      </c>
      <c r="AG34" s="463">
        <f t="shared" si="132"/>
        <v>0</v>
      </c>
      <c r="AH34" s="343" t="str">
        <f t="shared" si="9"/>
        <v>OK</v>
      </c>
      <c r="AI34" s="7"/>
      <c r="AJ34" s="189" t="str">
        <f t="shared" si="133"/>
        <v/>
      </c>
      <c r="AK34" s="320" t="str">
        <f t="shared" si="134"/>
        <v/>
      </c>
      <c r="AL34" s="320" t="str">
        <f t="shared" si="135"/>
        <v/>
      </c>
      <c r="AM34" s="320" t="str">
        <f t="shared" si="136"/>
        <v/>
      </c>
      <c r="AN34" s="320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37"/>
      <c r="B35" s="962" t="s">
        <v>781</v>
      </c>
      <c r="C35" s="962"/>
      <c r="D35" s="962"/>
      <c r="E35" s="962"/>
      <c r="F35" s="962"/>
      <c r="G35" s="962"/>
      <c r="H35" s="962"/>
      <c r="I35" s="962"/>
      <c r="J35" s="962"/>
      <c r="K35" s="82"/>
      <c r="L35" s="326" t="str">
        <f>SUBTOTAL(3,L36:L38)&amp;"건"</f>
        <v>0건</v>
      </c>
      <c r="M35" s="437">
        <f t="shared" ref="M35:S35" si="140">SUBTOTAL(9,M36:M38)</f>
        <v>0</v>
      </c>
      <c r="N35" s="437">
        <f t="shared" si="140"/>
        <v>0</v>
      </c>
      <c r="O35" s="437">
        <f t="shared" si="140"/>
        <v>0</v>
      </c>
      <c r="P35" s="437">
        <f t="shared" si="140"/>
        <v>0</v>
      </c>
      <c r="Q35" s="437">
        <f t="shared" si="140"/>
        <v>0</v>
      </c>
      <c r="R35" s="437">
        <f t="shared" si="140"/>
        <v>0</v>
      </c>
      <c r="S35" s="437">
        <f t="shared" si="140"/>
        <v>0</v>
      </c>
      <c r="T35" s="81"/>
      <c r="U35" s="83"/>
      <c r="V35" s="83"/>
      <c r="W35" s="84"/>
      <c r="X35" s="148"/>
      <c r="Y35" s="85"/>
      <c r="Z35" s="81"/>
      <c r="AA35" s="43"/>
      <c r="AB35" s="437">
        <f t="shared" ref="AB35:AC35" si="141">SUBTOTAL(9,AB36:AB38)</f>
        <v>0</v>
      </c>
      <c r="AC35" s="437">
        <f t="shared" si="141"/>
        <v>0</v>
      </c>
      <c r="AD35" s="511" t="str">
        <f>IF(COUNTIF(AD36:AD38,"@@")&gt;0,"@@","OK")</f>
        <v>OK</v>
      </c>
      <c r="AE35" s="52"/>
      <c r="AF35" s="437">
        <f t="shared" ref="AF35:AG35" si="142">SUBTOTAL(9,AF36:AF38)</f>
        <v>0</v>
      </c>
      <c r="AG35" s="437">
        <f t="shared" si="142"/>
        <v>0</v>
      </c>
      <c r="AH35" s="511" t="str">
        <f>IF(COUNTIF(AH36:AH38,"@@")&gt;0,"@@","OK")</f>
        <v>OK</v>
      </c>
      <c r="AI35" s="43"/>
      <c r="AJ35" s="80"/>
      <c r="AK35" s="80"/>
      <c r="AL35" s="511" t="str">
        <f>IF(COUNTIF(AL36:AL38,"@@")&gt;0,"@@","OK")</f>
        <v>OK</v>
      </c>
      <c r="AM35" s="80"/>
      <c r="AN35" s="511" t="str">
        <f>IF(COUNTIF(AN36:AN38,"@@")&gt;0,"@@","OK")</f>
        <v>OK</v>
      </c>
    </row>
    <row r="36" spans="1:40" s="19" customFormat="1" ht="80.099999999999994" customHeight="1">
      <c r="A36" s="126" t="str">
        <f>IF(D36="","",COUNTA($C$7:C36)-COUNTBLANK($C$7:C36)+8)</f>
        <v/>
      </c>
      <c r="B36" s="127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27" t="str">
        <f>IF(D36="","",IF(OR(D36="교육지원과",D36="총무과",D36="인사과"),"직접입력",VLOOKUP(D36,구분표!$A$3:$C$258,3,)))</f>
        <v/>
      </c>
      <c r="D36" s="194"/>
      <c r="E36" s="181"/>
      <c r="F36" s="350" t="str">
        <f>IF($E36="","",IF($E36="2추","직접입력","-"))</f>
        <v/>
      </c>
      <c r="G36" s="350" t="str">
        <f>IF($E36="","",IF($E36="2추","직접입력","-"))</f>
        <v/>
      </c>
      <c r="H36" s="181"/>
      <c r="I36" s="127" t="str">
        <f>IF(H36="","",VLOOKUP($H36,구분표!$K$3:$M$147,2,FALSE))</f>
        <v/>
      </c>
      <c r="J36" s="127" t="str">
        <f>IF(I36="","",VLOOKUP($H36,구분표!$K$3:$M$147,3,FALSE))</f>
        <v/>
      </c>
      <c r="K36" s="201"/>
      <c r="L36" s="201"/>
      <c r="M36" s="419" t="str">
        <f>IF($E36="","",IF(OR($E36="2추", $E36="1추", $E36="본예산"), "금액입력", "-"))</f>
        <v/>
      </c>
      <c r="N36" s="419" t="str">
        <f>IF($E36="", "", IF($E36="2추","금액입력", "-"))</f>
        <v/>
      </c>
      <c r="O36" s="421" t="str">
        <f t="shared" ref="O36:O38" si="143">IF($E36="","",SUM(M36:N36))</f>
        <v/>
      </c>
      <c r="P36" s="420"/>
      <c r="Q36" s="421">
        <f t="shared" ref="Q36:Q38" si="144">SUM(O36:P36)</f>
        <v>0</v>
      </c>
      <c r="R36" s="422"/>
      <c r="S36" s="423">
        <f t="shared" ref="S36:S38" si="145">SUM(O36,R36)</f>
        <v>0</v>
      </c>
      <c r="T36" s="133" t="str">
        <f t="shared" ref="T36:T38" si="146">IF(AND((Q36=0),(S36&gt;0)),"O",IF(AND((P36&lt;0),(Q36-S36&lt;0)),"O","X"))</f>
        <v>X</v>
      </c>
      <c r="U36" s="198"/>
      <c r="V36" s="192"/>
      <c r="W36" s="185"/>
      <c r="X36" s="202"/>
      <c r="Y36" s="185"/>
      <c r="Z36" s="320" t="str">
        <f t="shared" ref="Z36:Z38" si="147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46" t="str">
        <f t="shared" ref="AB36:AB38" si="148">IF($Z36="","",IF($Z36="국도비","금액입력",0))</f>
        <v/>
      </c>
      <c r="AC36" s="447">
        <f t="shared" ref="AC36:AC38" si="149">IFERROR(P36-AB36,0)</f>
        <v>0</v>
      </c>
      <c r="AD36" s="320" t="str">
        <f t="shared" si="8"/>
        <v>OK</v>
      </c>
      <c r="AE36" s="7"/>
      <c r="AF36" s="462" t="str">
        <f t="shared" ref="AF36:AF38" si="150">IF($Z36="","",IF($Z36="국도비","금액입력",0))</f>
        <v/>
      </c>
      <c r="AG36" s="463">
        <f t="shared" ref="AG36:AG38" si="151">IFERROR(R36-AF36,0)</f>
        <v>0</v>
      </c>
      <c r="AH36" s="343" t="str">
        <f t="shared" si="9"/>
        <v>OK</v>
      </c>
      <c r="AI36" s="7"/>
      <c r="AJ36" s="189" t="str">
        <f t="shared" ref="AJ36:AJ38" si="152">IF($Z36="","",IF($Z36="도비","-","세입번호입력"))</f>
        <v/>
      </c>
      <c r="AK36" s="320" t="str">
        <f t="shared" ref="AK36:AK38" si="153">IF(OR(AJ36="",AJ36="-",AJ36="세입번호입력"),"", COUNTIF($AJ$7:$AJ$1013,AJ36))</f>
        <v/>
      </c>
      <c r="AL36" s="320" t="str">
        <f t="shared" ref="AL36:AL38" si="154">IF($AJ36="","",IF($Z36="도비", "OK",IF(AND($Z36="국도비",$AJ36="세입없음"),"OK", IF(AND($Z36="국도비",$AJ36="세입번호입력"),"@@","OK"))))</f>
        <v/>
      </c>
      <c r="AM36" s="320" t="str">
        <f t="shared" ref="AM36:AM38" si="155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20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26" t="str">
        <f>IF(D37="","",COUNTA($C$7:C37)-COUNTBLANK($C$7:C37)+8)</f>
        <v/>
      </c>
      <c r="B37" s="127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27" t="str">
        <f>IF(D37="","",IF(OR(D37="교육지원과",D37="총무과",D37="인사과"),"직접입력",VLOOKUP(D37,구분표!$A$3:$C$258,3,)))</f>
        <v/>
      </c>
      <c r="D37" s="194"/>
      <c r="E37" s="181"/>
      <c r="F37" s="350" t="str">
        <f t="shared" ref="F37:G38" si="156">IF($E37="","",IF($E37="2추","직접입력","-"))</f>
        <v/>
      </c>
      <c r="G37" s="350" t="str">
        <f t="shared" si="156"/>
        <v/>
      </c>
      <c r="H37" s="181"/>
      <c r="I37" s="127" t="str">
        <f>IF(H37="","",VLOOKUP($H37,구분표!$K$3:$M$147,2,FALSE))</f>
        <v/>
      </c>
      <c r="J37" s="127" t="str">
        <f>IF(I37="","",VLOOKUP($H37,구분표!$K$3:$M$147,3,FALSE))</f>
        <v/>
      </c>
      <c r="K37" s="201"/>
      <c r="L37" s="201"/>
      <c r="M37" s="419" t="str">
        <f t="shared" ref="M37:M38" si="157">IF($E37="","",IF(OR($E37="2추", $E37="1추", $E37="본예산"), "금액입력", "-"))</f>
        <v/>
      </c>
      <c r="N37" s="419" t="str">
        <f t="shared" ref="N37:N38" si="158">IF($E37="", "", IF($E37="2추","금액입력", "-"))</f>
        <v/>
      </c>
      <c r="O37" s="421" t="str">
        <f t="shared" si="143"/>
        <v/>
      </c>
      <c r="P37" s="420"/>
      <c r="Q37" s="421">
        <f t="shared" si="144"/>
        <v>0</v>
      </c>
      <c r="R37" s="422"/>
      <c r="S37" s="423">
        <f t="shared" si="145"/>
        <v>0</v>
      </c>
      <c r="T37" s="133" t="str">
        <f t="shared" si="146"/>
        <v>X</v>
      </c>
      <c r="U37" s="198"/>
      <c r="V37" s="192"/>
      <c r="W37" s="185"/>
      <c r="X37" s="202"/>
      <c r="Y37" s="185"/>
      <c r="Z37" s="320" t="str">
        <f t="shared" si="147"/>
        <v/>
      </c>
      <c r="AA37" s="60"/>
      <c r="AB37" s="446" t="str">
        <f t="shared" si="148"/>
        <v/>
      </c>
      <c r="AC37" s="447">
        <f t="shared" si="149"/>
        <v>0</v>
      </c>
      <c r="AD37" s="320" t="str">
        <f t="shared" si="8"/>
        <v>OK</v>
      </c>
      <c r="AE37" s="7"/>
      <c r="AF37" s="462" t="str">
        <f t="shared" si="150"/>
        <v/>
      </c>
      <c r="AG37" s="463">
        <f t="shared" si="151"/>
        <v>0</v>
      </c>
      <c r="AH37" s="343" t="str">
        <f t="shared" si="9"/>
        <v>OK</v>
      </c>
      <c r="AI37" s="7"/>
      <c r="AJ37" s="189" t="str">
        <f t="shared" si="152"/>
        <v/>
      </c>
      <c r="AK37" s="320" t="str">
        <f t="shared" si="153"/>
        <v/>
      </c>
      <c r="AL37" s="320" t="str">
        <f t="shared" si="154"/>
        <v/>
      </c>
      <c r="AM37" s="320" t="str">
        <f t="shared" si="155"/>
        <v/>
      </c>
      <c r="AN37" s="320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26" t="str">
        <f>IF(D38="","",COUNTA($C$7:C38)-COUNTBLANK($C$7:C38)+8)</f>
        <v/>
      </c>
      <c r="B38" s="127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27" t="str">
        <f>IF(D38="","",IF(OR(D38="교육지원과",D38="총무과",D38="인사과"),"직접입력",VLOOKUP(D38,구분표!$A$3:$C$258,3,)))</f>
        <v/>
      </c>
      <c r="D38" s="194"/>
      <c r="E38" s="181"/>
      <c r="F38" s="350" t="str">
        <f t="shared" si="156"/>
        <v/>
      </c>
      <c r="G38" s="350" t="str">
        <f t="shared" si="156"/>
        <v/>
      </c>
      <c r="H38" s="181"/>
      <c r="I38" s="127" t="str">
        <f>IF(H38="","",VLOOKUP($H38,구분표!$K$3:$M$147,2,FALSE))</f>
        <v/>
      </c>
      <c r="J38" s="127" t="str">
        <f>IF(I38="","",VLOOKUP($H38,구분표!$K$3:$M$147,3,FALSE))</f>
        <v/>
      </c>
      <c r="K38" s="201"/>
      <c r="L38" s="201"/>
      <c r="M38" s="419" t="str">
        <f t="shared" si="157"/>
        <v/>
      </c>
      <c r="N38" s="419" t="str">
        <f t="shared" si="158"/>
        <v/>
      </c>
      <c r="O38" s="421" t="str">
        <f t="shared" si="143"/>
        <v/>
      </c>
      <c r="P38" s="420"/>
      <c r="Q38" s="421">
        <f t="shared" si="144"/>
        <v>0</v>
      </c>
      <c r="R38" s="422"/>
      <c r="S38" s="423">
        <f t="shared" si="145"/>
        <v>0</v>
      </c>
      <c r="T38" s="133" t="str">
        <f t="shared" si="146"/>
        <v>X</v>
      </c>
      <c r="U38" s="198"/>
      <c r="V38" s="192"/>
      <c r="W38" s="185"/>
      <c r="X38" s="202"/>
      <c r="Y38" s="185"/>
      <c r="Z38" s="320" t="str">
        <f t="shared" si="147"/>
        <v/>
      </c>
      <c r="AA38" s="60"/>
      <c r="AB38" s="446" t="str">
        <f t="shared" si="148"/>
        <v/>
      </c>
      <c r="AC38" s="447">
        <f t="shared" si="149"/>
        <v>0</v>
      </c>
      <c r="AD38" s="320" t="str">
        <f t="shared" si="8"/>
        <v>OK</v>
      </c>
      <c r="AE38" s="7"/>
      <c r="AF38" s="462" t="str">
        <f t="shared" si="150"/>
        <v/>
      </c>
      <c r="AG38" s="463">
        <f t="shared" si="151"/>
        <v>0</v>
      </c>
      <c r="AH38" s="343" t="str">
        <f t="shared" si="9"/>
        <v>OK</v>
      </c>
      <c r="AI38" s="7"/>
      <c r="AJ38" s="189" t="str">
        <f t="shared" si="152"/>
        <v/>
      </c>
      <c r="AK38" s="320" t="str">
        <f t="shared" si="153"/>
        <v/>
      </c>
      <c r="AL38" s="320" t="str">
        <f t="shared" si="154"/>
        <v/>
      </c>
      <c r="AM38" s="320" t="str">
        <f t="shared" si="155"/>
        <v/>
      </c>
      <c r="AN38" s="320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37"/>
      <c r="B39" s="962" t="s">
        <v>782</v>
      </c>
      <c r="C39" s="962"/>
      <c r="D39" s="962"/>
      <c r="E39" s="962"/>
      <c r="F39" s="962"/>
      <c r="G39" s="962"/>
      <c r="H39" s="962"/>
      <c r="I39" s="962"/>
      <c r="J39" s="962"/>
      <c r="K39" s="82"/>
      <c r="L39" s="326" t="str">
        <f>SUBTOTAL(3,L40:L42)&amp;"건"</f>
        <v>0건</v>
      </c>
      <c r="M39" s="437">
        <f t="shared" ref="M39:S39" si="159">SUBTOTAL(9,M40:M42)</f>
        <v>0</v>
      </c>
      <c r="N39" s="437">
        <f t="shared" si="159"/>
        <v>0</v>
      </c>
      <c r="O39" s="437">
        <f t="shared" si="159"/>
        <v>0</v>
      </c>
      <c r="P39" s="437">
        <f t="shared" si="159"/>
        <v>0</v>
      </c>
      <c r="Q39" s="437">
        <f t="shared" si="159"/>
        <v>0</v>
      </c>
      <c r="R39" s="437">
        <f t="shared" si="159"/>
        <v>0</v>
      </c>
      <c r="S39" s="437">
        <f t="shared" si="159"/>
        <v>0</v>
      </c>
      <c r="T39" s="81"/>
      <c r="U39" s="83"/>
      <c r="V39" s="83"/>
      <c r="W39" s="84"/>
      <c r="X39" s="148"/>
      <c r="Y39" s="85"/>
      <c r="Z39" s="81"/>
      <c r="AA39" s="43"/>
      <c r="AB39" s="437">
        <f t="shared" ref="AB39:AC39" si="160">SUBTOTAL(9,AB40:AB42)</f>
        <v>0</v>
      </c>
      <c r="AC39" s="437">
        <f t="shared" si="160"/>
        <v>0</v>
      </c>
      <c r="AD39" s="511" t="str">
        <f>IF(COUNTIF(AD40:AD42,"@@")&gt;0,"@@","OK")</f>
        <v>OK</v>
      </c>
      <c r="AE39" s="52"/>
      <c r="AF39" s="437">
        <f t="shared" ref="AF39:AG39" si="161">SUBTOTAL(9,AF40:AF42)</f>
        <v>0</v>
      </c>
      <c r="AG39" s="437">
        <f t="shared" si="161"/>
        <v>0</v>
      </c>
      <c r="AH39" s="511" t="str">
        <f>IF(COUNTIF(AH40:AH42,"@@")&gt;0,"@@","OK")</f>
        <v>OK</v>
      </c>
      <c r="AI39" s="43"/>
      <c r="AJ39" s="80"/>
      <c r="AK39" s="80"/>
      <c r="AL39" s="511" t="str">
        <f>IF(COUNTIF(AL40:AL42,"@@")&gt;0,"@@","OK")</f>
        <v>OK</v>
      </c>
      <c r="AM39" s="80"/>
      <c r="AN39" s="511" t="str">
        <f>IF(COUNTIF(AN40:AN42,"@@")&gt;0,"@@","OK")</f>
        <v>OK</v>
      </c>
    </row>
    <row r="40" spans="1:40" s="19" customFormat="1" ht="80.099999999999994" customHeight="1">
      <c r="A40" s="126" t="str">
        <f>IF(D40="","",COUNTA($C$7:C40)-COUNTBLANK($C$7:C40)+9)</f>
        <v/>
      </c>
      <c r="B40" s="127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27" t="str">
        <f>IF(D40="","",IF(OR(D40="교육지원과",D40="총무과",D40="인사과"),"직접입력",VLOOKUP(D40,구분표!$A$3:$C$258,3,)))</f>
        <v/>
      </c>
      <c r="D40" s="194"/>
      <c r="E40" s="181"/>
      <c r="F40" s="350" t="str">
        <f>IF($E40="","",IF($E40="2추","직접입력","-"))</f>
        <v/>
      </c>
      <c r="G40" s="350" t="str">
        <f>IF($E40="","",IF($E40="2추","직접입력","-"))</f>
        <v/>
      </c>
      <c r="H40" s="181"/>
      <c r="I40" s="127" t="str">
        <f>IF(H40="","",VLOOKUP($H40,구분표!$K$3:$M$147,2,FALSE))</f>
        <v/>
      </c>
      <c r="J40" s="127" t="str">
        <f>IF(I40="","",VLOOKUP($H40,구분표!$K$3:$M$147,3,FALSE))</f>
        <v/>
      </c>
      <c r="K40" s="201"/>
      <c r="L40" s="201"/>
      <c r="M40" s="419" t="str">
        <f>IF($E40="","",IF(OR($E40="2추", $E40="1추", $E40="본예산"), "금액입력", "-"))</f>
        <v/>
      </c>
      <c r="N40" s="419" t="str">
        <f>IF($E40="", "", IF($E40="2추","금액입력", "-"))</f>
        <v/>
      </c>
      <c r="O40" s="421" t="str">
        <f t="shared" ref="O40:O42" si="162">IF($E40="","",SUM(M40:N40))</f>
        <v/>
      </c>
      <c r="P40" s="420"/>
      <c r="Q40" s="421">
        <f t="shared" ref="Q40:Q42" si="163">SUM(O40:P40)</f>
        <v>0</v>
      </c>
      <c r="R40" s="422"/>
      <c r="S40" s="423">
        <f t="shared" ref="S40:S42" si="164">SUM(O40,R40)</f>
        <v>0</v>
      </c>
      <c r="T40" s="133" t="str">
        <f t="shared" ref="T40:T42" si="165">IF(AND((Q40=0),(S40&gt;0)),"O",IF(AND((P40&lt;0),(Q40-S40&lt;0)),"O","X"))</f>
        <v>X</v>
      </c>
      <c r="U40" s="198"/>
      <c r="V40" s="192"/>
      <c r="W40" s="185"/>
      <c r="X40" s="202"/>
      <c r="Y40" s="185"/>
      <c r="Z40" s="320" t="str">
        <f t="shared" ref="Z40:Z42" si="166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46" t="str">
        <f t="shared" ref="AB40:AB42" si="167">IF($Z40="","",IF($Z40="국도비","금액입력",0))</f>
        <v/>
      </c>
      <c r="AC40" s="447">
        <f t="shared" ref="AC40:AC42" si="168">IFERROR(P40-AB40,0)</f>
        <v>0</v>
      </c>
      <c r="AD40" s="320" t="str">
        <f t="shared" si="8"/>
        <v>OK</v>
      </c>
      <c r="AE40" s="7"/>
      <c r="AF40" s="462" t="str">
        <f t="shared" ref="AF40:AF42" si="169">IF($Z40="","",IF($Z40="국도비","금액입력",0))</f>
        <v/>
      </c>
      <c r="AG40" s="463">
        <f t="shared" ref="AG40:AG42" si="170">IFERROR(R40-AF40,0)</f>
        <v>0</v>
      </c>
      <c r="AH40" s="343" t="str">
        <f t="shared" si="9"/>
        <v>OK</v>
      </c>
      <c r="AI40" s="7"/>
      <c r="AJ40" s="189" t="str">
        <f t="shared" ref="AJ40:AJ42" si="171">IF($Z40="","",IF($Z40="도비","-","세입번호입력"))</f>
        <v/>
      </c>
      <c r="AK40" s="320" t="str">
        <f t="shared" ref="AK40:AK42" si="172">IF(OR(AJ40="",AJ40="-",AJ40="세입번호입력"),"", COUNTIF($AJ$7:$AJ$1013,AJ40))</f>
        <v/>
      </c>
      <c r="AL40" s="320" t="str">
        <f t="shared" ref="AL40:AL42" si="173">IF($AJ40="","",IF($Z40="도비", "OK",IF(AND($Z40="국도비",$AJ40="세입없음"),"OK", IF(AND($Z40="국도비",$AJ40="세입번호입력"),"@@","OK"))))</f>
        <v/>
      </c>
      <c r="AM40" s="320" t="str">
        <f t="shared" ref="AM40:AM42" si="174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20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26" t="str">
        <f>IF(D41="","",COUNTA($C$7:C41)-COUNTBLANK($C$7:C41)+9)</f>
        <v/>
      </c>
      <c r="B41" s="127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27" t="str">
        <f>IF(D41="","",IF(OR(D41="교육지원과",D41="총무과",D41="인사과"),"직접입력",VLOOKUP(D41,구분표!$A$3:$C$258,3,)))</f>
        <v/>
      </c>
      <c r="D41" s="194"/>
      <c r="E41" s="181"/>
      <c r="F41" s="350" t="str">
        <f t="shared" ref="F41:G42" si="175">IF($E41="","",IF($E41="2추","직접입력","-"))</f>
        <v/>
      </c>
      <c r="G41" s="350" t="str">
        <f t="shared" si="175"/>
        <v/>
      </c>
      <c r="H41" s="181"/>
      <c r="I41" s="127" t="str">
        <f>IF(H41="","",VLOOKUP($H41,구분표!$K$3:$M$147,2,FALSE))</f>
        <v/>
      </c>
      <c r="J41" s="127" t="str">
        <f>IF(I41="","",VLOOKUP($H41,구분표!$K$3:$M$147,3,FALSE))</f>
        <v/>
      </c>
      <c r="K41" s="201"/>
      <c r="L41" s="201"/>
      <c r="M41" s="419" t="str">
        <f t="shared" ref="M41:M42" si="176">IF($E41="","",IF(OR($E41="2추", $E41="1추", $E41="본예산"), "금액입력", "-"))</f>
        <v/>
      </c>
      <c r="N41" s="419" t="str">
        <f t="shared" ref="N41:N42" si="177">IF($E41="", "", IF($E41="2추","금액입력", "-"))</f>
        <v/>
      </c>
      <c r="O41" s="421" t="str">
        <f t="shared" si="162"/>
        <v/>
      </c>
      <c r="P41" s="420"/>
      <c r="Q41" s="421">
        <f t="shared" si="163"/>
        <v>0</v>
      </c>
      <c r="R41" s="422"/>
      <c r="S41" s="423">
        <f t="shared" si="164"/>
        <v>0</v>
      </c>
      <c r="T41" s="133" t="str">
        <f t="shared" si="165"/>
        <v>X</v>
      </c>
      <c r="U41" s="198"/>
      <c r="V41" s="192"/>
      <c r="W41" s="185"/>
      <c r="X41" s="202"/>
      <c r="Y41" s="185"/>
      <c r="Z41" s="320" t="str">
        <f t="shared" si="166"/>
        <v/>
      </c>
      <c r="AA41" s="60"/>
      <c r="AB41" s="446" t="str">
        <f t="shared" si="167"/>
        <v/>
      </c>
      <c r="AC41" s="447">
        <f t="shared" si="168"/>
        <v>0</v>
      </c>
      <c r="AD41" s="320" t="str">
        <f t="shared" si="8"/>
        <v>OK</v>
      </c>
      <c r="AE41" s="7"/>
      <c r="AF41" s="462" t="str">
        <f t="shared" si="169"/>
        <v/>
      </c>
      <c r="AG41" s="463">
        <f t="shared" si="170"/>
        <v>0</v>
      </c>
      <c r="AH41" s="343" t="str">
        <f t="shared" si="9"/>
        <v>OK</v>
      </c>
      <c r="AI41" s="7"/>
      <c r="AJ41" s="189" t="str">
        <f t="shared" si="171"/>
        <v/>
      </c>
      <c r="AK41" s="320" t="str">
        <f t="shared" si="172"/>
        <v/>
      </c>
      <c r="AL41" s="320" t="str">
        <f t="shared" si="173"/>
        <v/>
      </c>
      <c r="AM41" s="320" t="str">
        <f t="shared" si="174"/>
        <v/>
      </c>
      <c r="AN41" s="320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26" t="str">
        <f>IF(D42="","",COUNTA($C$7:C42)-COUNTBLANK($C$7:C42)+9)</f>
        <v/>
      </c>
      <c r="B42" s="127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27" t="str">
        <f>IF(D42="","",IF(OR(D42="교육지원과",D42="총무과",D42="인사과"),"직접입력",VLOOKUP(D42,구분표!$A$3:$C$258,3,)))</f>
        <v/>
      </c>
      <c r="D42" s="194"/>
      <c r="E42" s="181"/>
      <c r="F42" s="350" t="str">
        <f t="shared" si="175"/>
        <v/>
      </c>
      <c r="G42" s="350" t="str">
        <f t="shared" si="175"/>
        <v/>
      </c>
      <c r="H42" s="181"/>
      <c r="I42" s="127" t="str">
        <f>IF(H42="","",VLOOKUP($H42,구분표!$K$3:$M$147,2,FALSE))</f>
        <v/>
      </c>
      <c r="J42" s="127" t="str">
        <f>IF(I42="","",VLOOKUP($H42,구분표!$K$3:$M$147,3,FALSE))</f>
        <v/>
      </c>
      <c r="K42" s="201"/>
      <c r="L42" s="201"/>
      <c r="M42" s="419" t="str">
        <f t="shared" si="176"/>
        <v/>
      </c>
      <c r="N42" s="419" t="str">
        <f t="shared" si="177"/>
        <v/>
      </c>
      <c r="O42" s="421" t="str">
        <f t="shared" si="162"/>
        <v/>
      </c>
      <c r="P42" s="420"/>
      <c r="Q42" s="421">
        <f t="shared" si="163"/>
        <v>0</v>
      </c>
      <c r="R42" s="422"/>
      <c r="S42" s="423">
        <f t="shared" si="164"/>
        <v>0</v>
      </c>
      <c r="T42" s="133" t="str">
        <f t="shared" si="165"/>
        <v>X</v>
      </c>
      <c r="U42" s="198"/>
      <c r="V42" s="192"/>
      <c r="W42" s="185"/>
      <c r="X42" s="202"/>
      <c r="Y42" s="185"/>
      <c r="Z42" s="320" t="str">
        <f t="shared" si="166"/>
        <v/>
      </c>
      <c r="AA42" s="60"/>
      <c r="AB42" s="446" t="str">
        <f t="shared" si="167"/>
        <v/>
      </c>
      <c r="AC42" s="447">
        <f t="shared" si="168"/>
        <v>0</v>
      </c>
      <c r="AD42" s="320" t="str">
        <f t="shared" si="8"/>
        <v>OK</v>
      </c>
      <c r="AE42" s="7"/>
      <c r="AF42" s="462" t="str">
        <f t="shared" si="169"/>
        <v/>
      </c>
      <c r="AG42" s="463">
        <f t="shared" si="170"/>
        <v>0</v>
      </c>
      <c r="AH42" s="343" t="str">
        <f t="shared" si="9"/>
        <v>OK</v>
      </c>
      <c r="AI42" s="7"/>
      <c r="AJ42" s="189" t="str">
        <f t="shared" si="171"/>
        <v/>
      </c>
      <c r="AK42" s="320" t="str">
        <f t="shared" si="172"/>
        <v/>
      </c>
      <c r="AL42" s="320" t="str">
        <f t="shared" si="173"/>
        <v/>
      </c>
      <c r="AM42" s="320" t="str">
        <f t="shared" si="174"/>
        <v/>
      </c>
      <c r="AN42" s="320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37"/>
      <c r="B43" s="962" t="s">
        <v>783</v>
      </c>
      <c r="C43" s="962"/>
      <c r="D43" s="962"/>
      <c r="E43" s="962"/>
      <c r="F43" s="962"/>
      <c r="G43" s="962"/>
      <c r="H43" s="962"/>
      <c r="I43" s="962"/>
      <c r="J43" s="962"/>
      <c r="K43" s="82"/>
      <c r="L43" s="326" t="str">
        <f>SUBTOTAL(3,L44:L46)&amp;"건"</f>
        <v>0건</v>
      </c>
      <c r="M43" s="437">
        <f>SUBTOTAL(9,M44:M46)</f>
        <v>0</v>
      </c>
      <c r="N43" s="437">
        <f t="shared" ref="N43:S43" si="178">SUBTOTAL(9,N44:N46)</f>
        <v>0</v>
      </c>
      <c r="O43" s="437">
        <f t="shared" si="178"/>
        <v>0</v>
      </c>
      <c r="P43" s="437">
        <f t="shared" si="178"/>
        <v>0</v>
      </c>
      <c r="Q43" s="437">
        <f t="shared" si="178"/>
        <v>0</v>
      </c>
      <c r="R43" s="437">
        <f t="shared" si="178"/>
        <v>0</v>
      </c>
      <c r="S43" s="437">
        <f t="shared" si="178"/>
        <v>0</v>
      </c>
      <c r="T43" s="81"/>
      <c r="U43" s="83"/>
      <c r="V43" s="83"/>
      <c r="W43" s="84"/>
      <c r="X43" s="148"/>
      <c r="Y43" s="85"/>
      <c r="Z43" s="81"/>
      <c r="AA43" s="43"/>
      <c r="AB43" s="437">
        <f t="shared" ref="AB43:AC43" si="179">SUBTOTAL(9,AB44:AB46)</f>
        <v>0</v>
      </c>
      <c r="AC43" s="437">
        <f t="shared" si="179"/>
        <v>0</v>
      </c>
      <c r="AD43" s="511" t="str">
        <f>IF(COUNTIF(AD44:AD46,"@@")&gt;0,"@@","OK")</f>
        <v>OK</v>
      </c>
      <c r="AE43" s="52"/>
      <c r="AF43" s="437">
        <f t="shared" ref="AF43:AG43" si="180">SUBTOTAL(9,AF44:AF46)</f>
        <v>0</v>
      </c>
      <c r="AG43" s="437">
        <f t="shared" si="180"/>
        <v>0</v>
      </c>
      <c r="AH43" s="511" t="str">
        <f>IF(COUNTIF(AH44:AH46,"@@")&gt;0,"@@","OK")</f>
        <v>OK</v>
      </c>
      <c r="AI43" s="43"/>
      <c r="AJ43" s="80"/>
      <c r="AK43" s="80"/>
      <c r="AL43" s="511" t="str">
        <f>IF(COUNTIF(AL44:AL46,"@@")&gt;0,"@@","OK")</f>
        <v>OK</v>
      </c>
      <c r="AM43" s="80"/>
      <c r="AN43" s="511" t="str">
        <f>IF(COUNTIF(AN44:AN46,"@@")&gt;0,"@@","OK")</f>
        <v>OK</v>
      </c>
    </row>
    <row r="44" spans="1:40" s="19" customFormat="1" ht="80.099999999999994" customHeight="1">
      <c r="A44" s="126" t="str">
        <f>IF(D44="","",COUNTA($C$7:C44)-COUNTBLANK($C$7:C44)+10)</f>
        <v/>
      </c>
      <c r="B44" s="127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27" t="str">
        <f>IF(D44="","",IF(OR(D44="교육지원과",D44="총무과",D44="인사과"),"직접입력",VLOOKUP(D44,구분표!$A$3:$C$258,3,)))</f>
        <v/>
      </c>
      <c r="D44" s="194"/>
      <c r="E44" s="181"/>
      <c r="F44" s="350" t="str">
        <f>IF($E44="","",IF($E44="2추","직접입력","-"))</f>
        <v/>
      </c>
      <c r="G44" s="350" t="str">
        <f>IF($E44="","",IF($E44="2추","직접입력","-"))</f>
        <v/>
      </c>
      <c r="H44" s="181"/>
      <c r="I44" s="127" t="str">
        <f>IF(H44="","",VLOOKUP($H44,구분표!$K$3:$M$147,2,FALSE))</f>
        <v/>
      </c>
      <c r="J44" s="127" t="str">
        <f>IF(I44="","",VLOOKUP($H44,구분표!$K$3:$M$147,3,FALSE))</f>
        <v/>
      </c>
      <c r="K44" s="201"/>
      <c r="L44" s="201"/>
      <c r="M44" s="419" t="str">
        <f>IF($E44="","",IF(OR($E44="2추", $E44="1추", $E44="본예산"), "금액입력", "-"))</f>
        <v/>
      </c>
      <c r="N44" s="419" t="str">
        <f>IF($E44="", "", IF($E44="2추","금액입력", "-"))</f>
        <v/>
      </c>
      <c r="O44" s="421" t="str">
        <f t="shared" ref="O44:O46" si="181">IF($E44="","",SUM(M44:N44))</f>
        <v/>
      </c>
      <c r="P44" s="420"/>
      <c r="Q44" s="421">
        <f t="shared" ref="Q44:Q46" si="182">SUM(O44:P44)</f>
        <v>0</v>
      </c>
      <c r="R44" s="422"/>
      <c r="S44" s="423">
        <f t="shared" ref="S44:S46" si="183">SUM(O44,R44)</f>
        <v>0</v>
      </c>
      <c r="T44" s="133" t="str">
        <f t="shared" ref="T44:T46" si="184">IF(AND((Q44=0),(S44&gt;0)),"O",IF(AND((P44&lt;0),(Q44-S44&lt;0)),"O","X"))</f>
        <v>X</v>
      </c>
      <c r="U44" s="198"/>
      <c r="V44" s="192"/>
      <c r="W44" s="185"/>
      <c r="X44" s="202"/>
      <c r="Y44" s="185"/>
      <c r="Z44" s="320" t="str">
        <f t="shared" ref="Z44:Z46" si="185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46" t="str">
        <f t="shared" ref="AB44:AB46" si="186">IF($Z44="","",IF($Z44="국도비","금액입력",0))</f>
        <v/>
      </c>
      <c r="AC44" s="447">
        <f t="shared" ref="AC44:AC46" si="187">IFERROR(P44-AB44,0)</f>
        <v>0</v>
      </c>
      <c r="AD44" s="320" t="str">
        <f t="shared" si="8"/>
        <v>OK</v>
      </c>
      <c r="AE44" s="7"/>
      <c r="AF44" s="462" t="str">
        <f t="shared" ref="AF44:AF46" si="188">IF($Z44="","",IF($Z44="국도비","금액입력",0))</f>
        <v/>
      </c>
      <c r="AG44" s="463">
        <f t="shared" ref="AG44:AG46" si="189">IFERROR(R44-AF44,0)</f>
        <v>0</v>
      </c>
      <c r="AH44" s="343" t="str">
        <f t="shared" si="9"/>
        <v>OK</v>
      </c>
      <c r="AI44" s="7"/>
      <c r="AJ44" s="189" t="str">
        <f t="shared" ref="AJ44:AJ46" si="190">IF($Z44="","",IF($Z44="도비","-","세입번호입력"))</f>
        <v/>
      </c>
      <c r="AK44" s="320" t="str">
        <f t="shared" ref="AK44:AK46" si="191">IF(OR(AJ44="",AJ44="-",AJ44="세입번호입력"),"", COUNTIF($AJ$7:$AJ$1013,AJ44))</f>
        <v/>
      </c>
      <c r="AL44" s="320" t="str">
        <f t="shared" ref="AL44:AL46" si="192">IF($AJ44="","",IF($Z44="도비", "OK",IF(AND($Z44="국도비",$AJ44="세입없음"),"OK", IF(AND($Z44="국도비",$AJ44="세입번호입력"),"@@","OK"))))</f>
        <v/>
      </c>
      <c r="AM44" s="320" t="str">
        <f t="shared" ref="AM44:AM46" si="193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20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26" t="str">
        <f>IF(D45="","",COUNTA($C$7:C45)-COUNTBLANK($C$7:C45)+10)</f>
        <v/>
      </c>
      <c r="B45" s="127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27" t="str">
        <f>IF(D45="","",IF(OR(D45="교육지원과",D45="총무과",D45="인사과"),"직접입력",VLOOKUP(D45,구분표!$A$3:$C$258,3,)))</f>
        <v/>
      </c>
      <c r="D45" s="194"/>
      <c r="E45" s="181"/>
      <c r="F45" s="350" t="str">
        <f t="shared" ref="F45:G46" si="194">IF($E45="","",IF($E45="2추","직접입력","-"))</f>
        <v/>
      </c>
      <c r="G45" s="350" t="str">
        <f t="shared" si="194"/>
        <v/>
      </c>
      <c r="H45" s="181"/>
      <c r="I45" s="127" t="str">
        <f>IF(H45="","",VLOOKUP($H45,구분표!$K$3:$M$147,2,FALSE))</f>
        <v/>
      </c>
      <c r="J45" s="127" t="str">
        <f>IF(I45="","",VLOOKUP($H45,구분표!$K$3:$M$147,3,FALSE))</f>
        <v/>
      </c>
      <c r="K45" s="201"/>
      <c r="L45" s="201"/>
      <c r="M45" s="419" t="str">
        <f t="shared" ref="M45:M46" si="195">IF($E45="","",IF(OR($E45="2추", $E45="1추", $E45="본예산"), "금액입력", "-"))</f>
        <v/>
      </c>
      <c r="N45" s="419" t="str">
        <f t="shared" ref="N45:N46" si="196">IF($E45="", "", IF($E45="2추","금액입력", "-"))</f>
        <v/>
      </c>
      <c r="O45" s="421" t="str">
        <f t="shared" si="181"/>
        <v/>
      </c>
      <c r="P45" s="420"/>
      <c r="Q45" s="421">
        <f t="shared" si="182"/>
        <v>0</v>
      </c>
      <c r="R45" s="422"/>
      <c r="S45" s="423">
        <f t="shared" si="183"/>
        <v>0</v>
      </c>
      <c r="T45" s="133" t="str">
        <f t="shared" si="184"/>
        <v>X</v>
      </c>
      <c r="U45" s="198"/>
      <c r="V45" s="192"/>
      <c r="W45" s="185"/>
      <c r="X45" s="202"/>
      <c r="Y45" s="185"/>
      <c r="Z45" s="320" t="str">
        <f t="shared" si="185"/>
        <v/>
      </c>
      <c r="AA45" s="60"/>
      <c r="AB45" s="446" t="str">
        <f t="shared" si="186"/>
        <v/>
      </c>
      <c r="AC45" s="447">
        <f t="shared" si="187"/>
        <v>0</v>
      </c>
      <c r="AD45" s="320" t="str">
        <f t="shared" si="8"/>
        <v>OK</v>
      </c>
      <c r="AE45" s="7"/>
      <c r="AF45" s="462" t="str">
        <f t="shared" si="188"/>
        <v/>
      </c>
      <c r="AG45" s="463">
        <f t="shared" si="189"/>
        <v>0</v>
      </c>
      <c r="AH45" s="343" t="str">
        <f t="shared" si="9"/>
        <v>OK</v>
      </c>
      <c r="AI45" s="7"/>
      <c r="AJ45" s="189" t="str">
        <f t="shared" si="190"/>
        <v/>
      </c>
      <c r="AK45" s="320" t="str">
        <f t="shared" si="191"/>
        <v/>
      </c>
      <c r="AL45" s="320" t="str">
        <f t="shared" si="192"/>
        <v/>
      </c>
      <c r="AM45" s="320" t="str">
        <f t="shared" si="193"/>
        <v/>
      </c>
      <c r="AN45" s="320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26" t="str">
        <f>IF(D46="","",COUNTA($C$7:C46)-COUNTBLANK($C$7:C46)+10)</f>
        <v/>
      </c>
      <c r="B46" s="127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27" t="str">
        <f>IF(D46="","",IF(OR(D46="교육지원과",D46="총무과",D46="인사과"),"직접입력",VLOOKUP(D46,구분표!$A$3:$C$258,3,)))</f>
        <v/>
      </c>
      <c r="D46" s="194"/>
      <c r="E46" s="181"/>
      <c r="F46" s="350" t="str">
        <f t="shared" si="194"/>
        <v/>
      </c>
      <c r="G46" s="350" t="str">
        <f t="shared" si="194"/>
        <v/>
      </c>
      <c r="H46" s="181"/>
      <c r="I46" s="127" t="str">
        <f>IF(H46="","",VLOOKUP($H46,구분표!$K$3:$M$147,2,FALSE))</f>
        <v/>
      </c>
      <c r="J46" s="127" t="str">
        <f>IF(I46="","",VLOOKUP($H46,구분표!$K$3:$M$147,3,FALSE))</f>
        <v/>
      </c>
      <c r="K46" s="201"/>
      <c r="L46" s="201"/>
      <c r="M46" s="419" t="str">
        <f t="shared" si="195"/>
        <v/>
      </c>
      <c r="N46" s="419" t="str">
        <f t="shared" si="196"/>
        <v/>
      </c>
      <c r="O46" s="421" t="str">
        <f t="shared" si="181"/>
        <v/>
      </c>
      <c r="P46" s="420"/>
      <c r="Q46" s="421">
        <f t="shared" si="182"/>
        <v>0</v>
      </c>
      <c r="R46" s="422"/>
      <c r="S46" s="423">
        <f t="shared" si="183"/>
        <v>0</v>
      </c>
      <c r="T46" s="133" t="str">
        <f t="shared" si="184"/>
        <v>X</v>
      </c>
      <c r="U46" s="198"/>
      <c r="V46" s="192"/>
      <c r="W46" s="185"/>
      <c r="X46" s="202"/>
      <c r="Y46" s="185"/>
      <c r="Z46" s="320" t="str">
        <f t="shared" si="185"/>
        <v/>
      </c>
      <c r="AA46" s="60"/>
      <c r="AB46" s="446" t="str">
        <f t="shared" si="186"/>
        <v/>
      </c>
      <c r="AC46" s="447">
        <f t="shared" si="187"/>
        <v>0</v>
      </c>
      <c r="AD46" s="320" t="str">
        <f t="shared" si="8"/>
        <v>OK</v>
      </c>
      <c r="AE46" s="7"/>
      <c r="AF46" s="462" t="str">
        <f t="shared" si="188"/>
        <v/>
      </c>
      <c r="AG46" s="463">
        <f t="shared" si="189"/>
        <v>0</v>
      </c>
      <c r="AH46" s="343" t="str">
        <f t="shared" si="9"/>
        <v>OK</v>
      </c>
      <c r="AI46" s="7"/>
      <c r="AJ46" s="189" t="str">
        <f t="shared" si="190"/>
        <v/>
      </c>
      <c r="AK46" s="320" t="str">
        <f t="shared" si="191"/>
        <v/>
      </c>
      <c r="AL46" s="320" t="str">
        <f t="shared" si="192"/>
        <v/>
      </c>
      <c r="AM46" s="320" t="str">
        <f t="shared" si="193"/>
        <v/>
      </c>
      <c r="AN46" s="320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37"/>
      <c r="B47" s="962" t="s">
        <v>784</v>
      </c>
      <c r="C47" s="962"/>
      <c r="D47" s="962"/>
      <c r="E47" s="962"/>
      <c r="F47" s="962"/>
      <c r="G47" s="962"/>
      <c r="H47" s="962"/>
      <c r="I47" s="962"/>
      <c r="J47" s="962"/>
      <c r="K47" s="82"/>
      <c r="L47" s="326" t="str">
        <f>SUBTOTAL(3,L48:L50)&amp;"건"</f>
        <v>0건</v>
      </c>
      <c r="M47" s="437">
        <f>SUBTOTAL(9,M48:M50)</f>
        <v>0</v>
      </c>
      <c r="N47" s="437">
        <f t="shared" ref="N47:S47" si="197">SUBTOTAL(9,N48:N50)</f>
        <v>0</v>
      </c>
      <c r="O47" s="437">
        <f t="shared" si="197"/>
        <v>0</v>
      </c>
      <c r="P47" s="437">
        <f t="shared" si="197"/>
        <v>0</v>
      </c>
      <c r="Q47" s="437">
        <f t="shared" si="197"/>
        <v>0</v>
      </c>
      <c r="R47" s="437">
        <f t="shared" si="197"/>
        <v>0</v>
      </c>
      <c r="S47" s="437">
        <f t="shared" si="197"/>
        <v>0</v>
      </c>
      <c r="T47" s="81"/>
      <c r="U47" s="83"/>
      <c r="V47" s="83"/>
      <c r="W47" s="84"/>
      <c r="X47" s="39"/>
      <c r="Y47" s="85"/>
      <c r="Z47" s="81"/>
      <c r="AA47" s="43"/>
      <c r="AB47" s="437">
        <f t="shared" ref="AB47:AC47" si="198">SUBTOTAL(9,AB48:AB50)</f>
        <v>0</v>
      </c>
      <c r="AC47" s="437">
        <f t="shared" si="198"/>
        <v>0</v>
      </c>
      <c r="AD47" s="511" t="str">
        <f>IF(COUNTIF(AD48:AD50,"@@")&gt;0,"@@","OK")</f>
        <v>OK</v>
      </c>
      <c r="AE47" s="52"/>
      <c r="AF47" s="437">
        <f t="shared" ref="AF47:AG47" si="199">SUBTOTAL(9,AF48:AF50)</f>
        <v>0</v>
      </c>
      <c r="AG47" s="437">
        <f t="shared" si="199"/>
        <v>0</v>
      </c>
      <c r="AH47" s="511" t="str">
        <f>IF(COUNTIF(AH48:AH50,"@@")&gt;0,"@@","OK")</f>
        <v>OK</v>
      </c>
      <c r="AI47" s="43"/>
      <c r="AJ47" s="80"/>
      <c r="AK47" s="80"/>
      <c r="AL47" s="511" t="str">
        <f>IF(COUNTIF(AL48:AL50,"@@")&gt;0,"@@","OK")</f>
        <v>OK</v>
      </c>
      <c r="AM47" s="80"/>
      <c r="AN47" s="511" t="str">
        <f>IF(COUNTIF(AN48:AN50,"@@")&gt;0,"@@","OK")</f>
        <v>OK</v>
      </c>
    </row>
    <row r="48" spans="1:40" s="19" customFormat="1" ht="80.099999999999994" customHeight="1">
      <c r="A48" s="126" t="str">
        <f>IF(D48="","",COUNTA($C$7:C48)-COUNTBLANK($C$7:C48)+11)</f>
        <v/>
      </c>
      <c r="B48" s="127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27" t="str">
        <f>IF(D48="","",IF(OR(D48="교육지원과",D48="총무과",D48="인사과"),"직접입력",VLOOKUP(D48,구분표!$A$3:$C$258,3,)))</f>
        <v/>
      </c>
      <c r="D48" s="194"/>
      <c r="E48" s="181"/>
      <c r="F48" s="350" t="str">
        <f>IF($E48="","",IF($E48="2추","직접입력","-"))</f>
        <v/>
      </c>
      <c r="G48" s="350" t="str">
        <f>IF($E48="","",IF($E48="2추","직접입력","-"))</f>
        <v/>
      </c>
      <c r="H48" s="181"/>
      <c r="I48" s="127" t="str">
        <f>IF(H48="","",VLOOKUP($H48,구분표!$K$3:$M$147,2,FALSE))</f>
        <v/>
      </c>
      <c r="J48" s="127" t="str">
        <f>IF(I48="","",VLOOKUP($H48,구분표!$K$3:$M$147,3,FALSE))</f>
        <v/>
      </c>
      <c r="K48" s="201"/>
      <c r="L48" s="201"/>
      <c r="M48" s="419" t="str">
        <f>IF($E48="","",IF(OR($E48="2추", $E48="1추", $E48="본예산"), "금액입력", "-"))</f>
        <v/>
      </c>
      <c r="N48" s="419" t="str">
        <f>IF($E48="", "", IF($E48="2추","금액입력", "-"))</f>
        <v/>
      </c>
      <c r="O48" s="421" t="str">
        <f t="shared" ref="O48:O50" si="200">IF($E48="","",SUM(M48:N48))</f>
        <v/>
      </c>
      <c r="P48" s="420"/>
      <c r="Q48" s="421">
        <f t="shared" ref="Q48:Q50" si="201">SUM(O48:P48)</f>
        <v>0</v>
      </c>
      <c r="R48" s="422"/>
      <c r="S48" s="423">
        <f t="shared" ref="S48:S50" si="202">SUM(O48,R48)</f>
        <v>0</v>
      </c>
      <c r="T48" s="133" t="str">
        <f t="shared" ref="T48:T50" si="203">IF(AND((Q48=0),(S48&gt;0)),"O",IF(AND((P48&lt;0),(Q48-S48&lt;0)),"O","X"))</f>
        <v>X</v>
      </c>
      <c r="U48" s="198"/>
      <c r="V48" s="192"/>
      <c r="W48" s="185"/>
      <c r="X48" s="202"/>
      <c r="Y48" s="185"/>
      <c r="Z48" s="320" t="str">
        <f t="shared" ref="Z48:Z50" si="204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46" t="str">
        <f t="shared" ref="AB48:AB50" si="205">IF($Z48="","",IF($Z48="국도비","금액입력",0))</f>
        <v/>
      </c>
      <c r="AC48" s="447">
        <f t="shared" ref="AC48:AC50" si="206">IFERROR(P48-AB48,0)</f>
        <v>0</v>
      </c>
      <c r="AD48" s="320" t="str">
        <f t="shared" si="8"/>
        <v>OK</v>
      </c>
      <c r="AE48" s="7"/>
      <c r="AF48" s="462" t="str">
        <f t="shared" ref="AF48:AF50" si="207">IF($Z48="","",IF($Z48="국도비","금액입력",0))</f>
        <v/>
      </c>
      <c r="AG48" s="463">
        <f t="shared" ref="AG48:AG50" si="208">IFERROR(R48-AF48,0)</f>
        <v>0</v>
      </c>
      <c r="AH48" s="343" t="str">
        <f t="shared" si="9"/>
        <v>OK</v>
      </c>
      <c r="AI48" s="7"/>
      <c r="AJ48" s="189" t="str">
        <f t="shared" ref="AJ48:AJ50" si="209">IF($Z48="","",IF($Z48="도비","-","세입번호입력"))</f>
        <v/>
      </c>
      <c r="AK48" s="320" t="str">
        <f t="shared" ref="AK48:AK50" si="210">IF(OR(AJ48="",AJ48="-",AJ48="세입번호입력"),"", COUNTIF($AJ$7:$AJ$1013,AJ48))</f>
        <v/>
      </c>
      <c r="AL48" s="320" t="str">
        <f t="shared" ref="AL48:AL50" si="211">IF($AJ48="","",IF($Z48="도비", "OK",IF(AND($Z48="국도비",$AJ48="세입없음"),"OK", IF(AND($Z48="국도비",$AJ48="세입번호입력"),"@@","OK"))))</f>
        <v/>
      </c>
      <c r="AM48" s="320" t="str">
        <f t="shared" ref="AM48:AM50" si="212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20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26" t="str">
        <f>IF(D49="","",COUNTA($C$7:C49)-COUNTBLANK($C$7:C49)+11)</f>
        <v/>
      </c>
      <c r="B49" s="127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27" t="str">
        <f>IF(D49="","",IF(OR(D49="교육지원과",D49="총무과",D49="인사과"),"직접입력",VLOOKUP(D49,구분표!$A$3:$C$258,3,)))</f>
        <v/>
      </c>
      <c r="D49" s="194"/>
      <c r="E49" s="181"/>
      <c r="F49" s="350" t="str">
        <f t="shared" ref="F49:G50" si="213">IF($E49="","",IF($E49="2추","직접입력","-"))</f>
        <v/>
      </c>
      <c r="G49" s="350" t="str">
        <f t="shared" si="213"/>
        <v/>
      </c>
      <c r="H49" s="181"/>
      <c r="I49" s="127" t="str">
        <f>IF(H49="","",VLOOKUP($H49,구분표!$K$3:$M$147,2,FALSE))</f>
        <v/>
      </c>
      <c r="J49" s="127" t="str">
        <f>IF(I49="","",VLOOKUP($H49,구분표!$K$3:$M$147,3,FALSE))</f>
        <v/>
      </c>
      <c r="K49" s="201"/>
      <c r="L49" s="201"/>
      <c r="M49" s="419" t="str">
        <f t="shared" ref="M49:M50" si="214">IF($E49="","",IF(OR($E49="2추", $E49="1추", $E49="본예산"), "금액입력", "-"))</f>
        <v/>
      </c>
      <c r="N49" s="419" t="str">
        <f t="shared" ref="N49:N50" si="215">IF($E49="", "", IF($E49="2추","금액입력", "-"))</f>
        <v/>
      </c>
      <c r="O49" s="421" t="str">
        <f t="shared" si="200"/>
        <v/>
      </c>
      <c r="P49" s="420"/>
      <c r="Q49" s="421">
        <f t="shared" si="201"/>
        <v>0</v>
      </c>
      <c r="R49" s="422"/>
      <c r="S49" s="423">
        <f t="shared" si="202"/>
        <v>0</v>
      </c>
      <c r="T49" s="133" t="str">
        <f t="shared" si="203"/>
        <v>X</v>
      </c>
      <c r="U49" s="198"/>
      <c r="V49" s="192"/>
      <c r="W49" s="185"/>
      <c r="X49" s="202"/>
      <c r="Y49" s="185"/>
      <c r="Z49" s="320" t="str">
        <f t="shared" si="204"/>
        <v/>
      </c>
      <c r="AA49" s="60"/>
      <c r="AB49" s="446" t="str">
        <f t="shared" si="205"/>
        <v/>
      </c>
      <c r="AC49" s="447">
        <f t="shared" si="206"/>
        <v>0</v>
      </c>
      <c r="AD49" s="320" t="str">
        <f t="shared" si="8"/>
        <v>OK</v>
      </c>
      <c r="AE49" s="7"/>
      <c r="AF49" s="462" t="str">
        <f t="shared" si="207"/>
        <v/>
      </c>
      <c r="AG49" s="463">
        <f t="shared" si="208"/>
        <v>0</v>
      </c>
      <c r="AH49" s="343" t="str">
        <f t="shared" si="9"/>
        <v>OK</v>
      </c>
      <c r="AI49" s="7"/>
      <c r="AJ49" s="189" t="str">
        <f t="shared" si="209"/>
        <v/>
      </c>
      <c r="AK49" s="320" t="str">
        <f t="shared" si="210"/>
        <v/>
      </c>
      <c r="AL49" s="320" t="str">
        <f t="shared" si="211"/>
        <v/>
      </c>
      <c r="AM49" s="320" t="str">
        <f t="shared" si="212"/>
        <v/>
      </c>
      <c r="AN49" s="320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26" t="str">
        <f>IF(D50="","",COUNTA($C$7:C50)-COUNTBLANK($C$7:C50)+11)</f>
        <v/>
      </c>
      <c r="B50" s="127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27" t="str">
        <f>IF(D50="","",IF(OR(D50="교육지원과",D50="총무과",D50="인사과"),"직접입력",VLOOKUP(D50,구분표!$A$3:$C$258,3,)))</f>
        <v/>
      </c>
      <c r="D50" s="194"/>
      <c r="E50" s="181"/>
      <c r="F50" s="350" t="str">
        <f t="shared" si="213"/>
        <v/>
      </c>
      <c r="G50" s="350" t="str">
        <f t="shared" si="213"/>
        <v/>
      </c>
      <c r="H50" s="181"/>
      <c r="I50" s="127" t="str">
        <f>IF(H50="","",VLOOKUP($H50,구분표!$K$3:$M$147,2,FALSE))</f>
        <v/>
      </c>
      <c r="J50" s="127" t="str">
        <f>IF(I50="","",VLOOKUP($H50,구분표!$K$3:$M$147,3,FALSE))</f>
        <v/>
      </c>
      <c r="K50" s="201"/>
      <c r="L50" s="201"/>
      <c r="M50" s="419" t="str">
        <f t="shared" si="214"/>
        <v/>
      </c>
      <c r="N50" s="419" t="str">
        <f t="shared" si="215"/>
        <v/>
      </c>
      <c r="O50" s="421" t="str">
        <f t="shared" si="200"/>
        <v/>
      </c>
      <c r="P50" s="420"/>
      <c r="Q50" s="421">
        <f t="shared" si="201"/>
        <v>0</v>
      </c>
      <c r="R50" s="422"/>
      <c r="S50" s="423">
        <f t="shared" si="202"/>
        <v>0</v>
      </c>
      <c r="T50" s="133" t="str">
        <f t="shared" si="203"/>
        <v>X</v>
      </c>
      <c r="U50" s="198"/>
      <c r="V50" s="192"/>
      <c r="W50" s="185"/>
      <c r="X50" s="202"/>
      <c r="Y50" s="185"/>
      <c r="Z50" s="320" t="str">
        <f t="shared" si="204"/>
        <v/>
      </c>
      <c r="AA50" s="60"/>
      <c r="AB50" s="446" t="str">
        <f t="shared" si="205"/>
        <v/>
      </c>
      <c r="AC50" s="447">
        <f t="shared" si="206"/>
        <v>0</v>
      </c>
      <c r="AD50" s="320" t="str">
        <f t="shared" si="8"/>
        <v>OK</v>
      </c>
      <c r="AE50" s="7"/>
      <c r="AF50" s="462" t="str">
        <f t="shared" si="207"/>
        <v/>
      </c>
      <c r="AG50" s="463">
        <f t="shared" si="208"/>
        <v>0</v>
      </c>
      <c r="AH50" s="343" t="str">
        <f t="shared" si="9"/>
        <v>OK</v>
      </c>
      <c r="AI50" s="7"/>
      <c r="AJ50" s="189" t="str">
        <f t="shared" si="209"/>
        <v/>
      </c>
      <c r="AK50" s="320" t="str">
        <f t="shared" si="210"/>
        <v/>
      </c>
      <c r="AL50" s="320" t="str">
        <f t="shared" si="211"/>
        <v/>
      </c>
      <c r="AM50" s="320" t="str">
        <f t="shared" si="212"/>
        <v/>
      </c>
      <c r="AN50" s="320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37"/>
      <c r="B51" s="962" t="s">
        <v>785</v>
      </c>
      <c r="C51" s="962"/>
      <c r="D51" s="962"/>
      <c r="E51" s="962"/>
      <c r="F51" s="962"/>
      <c r="G51" s="962"/>
      <c r="H51" s="962"/>
      <c r="I51" s="962"/>
      <c r="J51" s="962"/>
      <c r="K51" s="82"/>
      <c r="L51" s="326" t="str">
        <f>SUBTOTAL(3,L52:L54)&amp;"건"</f>
        <v>0건</v>
      </c>
      <c r="M51" s="437">
        <f t="shared" ref="M51:S51" si="216">SUBTOTAL(9,M52:M54)</f>
        <v>0</v>
      </c>
      <c r="N51" s="437">
        <f t="shared" si="216"/>
        <v>0</v>
      </c>
      <c r="O51" s="437">
        <f t="shared" si="216"/>
        <v>0</v>
      </c>
      <c r="P51" s="437">
        <f t="shared" si="216"/>
        <v>0</v>
      </c>
      <c r="Q51" s="437">
        <f t="shared" si="216"/>
        <v>0</v>
      </c>
      <c r="R51" s="437">
        <f t="shared" si="216"/>
        <v>0</v>
      </c>
      <c r="S51" s="437">
        <f t="shared" si="216"/>
        <v>0</v>
      </c>
      <c r="T51" s="81"/>
      <c r="U51" s="83"/>
      <c r="V51" s="83"/>
      <c r="W51" s="84"/>
      <c r="X51" s="39"/>
      <c r="Y51" s="85"/>
      <c r="Z51" s="81"/>
      <c r="AA51" s="43"/>
      <c r="AB51" s="437">
        <f t="shared" ref="AB51:AC51" si="217">SUBTOTAL(9,AB52:AB54)</f>
        <v>0</v>
      </c>
      <c r="AC51" s="437">
        <f t="shared" si="217"/>
        <v>0</v>
      </c>
      <c r="AD51" s="511" t="str">
        <f>IF(COUNTIF(AD52:AD54,"@@")&gt;0,"@@","OK")</f>
        <v>OK</v>
      </c>
      <c r="AE51" s="52"/>
      <c r="AF51" s="437">
        <f t="shared" ref="AF51:AG51" si="218">SUBTOTAL(9,AF52:AF54)</f>
        <v>0</v>
      </c>
      <c r="AG51" s="437">
        <f t="shared" si="218"/>
        <v>0</v>
      </c>
      <c r="AH51" s="511" t="str">
        <f>IF(COUNTIF(AH52:AH54,"@@")&gt;0,"@@","OK")</f>
        <v>OK</v>
      </c>
      <c r="AI51" s="43"/>
      <c r="AJ51" s="80"/>
      <c r="AK51" s="80"/>
      <c r="AL51" s="511" t="str">
        <f>IF(COUNTIF(AL52:AL54,"@@")&gt;0,"@@","OK")</f>
        <v>OK</v>
      </c>
      <c r="AM51" s="80"/>
      <c r="AN51" s="511" t="str">
        <f>IF(COUNTIF(AN52:AN54,"@@")&gt;0,"@@","OK")</f>
        <v>OK</v>
      </c>
    </row>
    <row r="52" spans="1:40" s="19" customFormat="1" ht="80.099999999999994" customHeight="1">
      <c r="A52" s="126" t="str">
        <f>IF(D52="","",COUNTA($C$7:C52)-COUNTBLANK($C$7:C52)+12)</f>
        <v/>
      </c>
      <c r="B52" s="127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27" t="str">
        <f>IF(D52="","",IF(OR(D52="교육지원과",D52="총무과",D52="인사과"),"직접입력",VLOOKUP(D52,구분표!$A$3:$C$258,3,)))</f>
        <v/>
      </c>
      <c r="D52" s="194"/>
      <c r="E52" s="181"/>
      <c r="F52" s="350" t="str">
        <f>IF($E52="","",IF($E52="2추","직접입력","-"))</f>
        <v/>
      </c>
      <c r="G52" s="350" t="str">
        <f>IF($E52="","",IF($E52="2추","직접입력","-"))</f>
        <v/>
      </c>
      <c r="H52" s="181"/>
      <c r="I52" s="127" t="str">
        <f>IF(H52="","",VLOOKUP($H52,구분표!$K$3:$M$147,2,FALSE))</f>
        <v/>
      </c>
      <c r="J52" s="127" t="str">
        <f>IF(I52="","",VLOOKUP($H52,구분표!$K$3:$M$147,3,FALSE))</f>
        <v/>
      </c>
      <c r="K52" s="201"/>
      <c r="L52" s="201"/>
      <c r="M52" s="419" t="str">
        <f>IF($E52="","",IF(OR($E52="2추", $E52="1추", $E52="본예산"), "금액입력", "-"))</f>
        <v/>
      </c>
      <c r="N52" s="419" t="str">
        <f>IF($E52="", "", IF($E52="2추","금액입력", "-"))</f>
        <v/>
      </c>
      <c r="O52" s="421" t="str">
        <f t="shared" ref="O52:O54" si="219">IF($E52="","",SUM(M52:N52))</f>
        <v/>
      </c>
      <c r="P52" s="420"/>
      <c r="Q52" s="421">
        <f t="shared" ref="Q52:Q54" si="220">SUM(O52:P52)</f>
        <v>0</v>
      </c>
      <c r="R52" s="422"/>
      <c r="S52" s="423">
        <f t="shared" ref="S52:S54" si="221">SUM(O52,R52)</f>
        <v>0</v>
      </c>
      <c r="T52" s="133" t="str">
        <f t="shared" ref="T52:T54" si="222">IF(AND((Q52=0),(S52&gt;0)),"O",IF(AND((P52&lt;0),(Q52-S52&lt;0)),"O","X"))</f>
        <v>X</v>
      </c>
      <c r="U52" s="198"/>
      <c r="V52" s="192"/>
      <c r="W52" s="185"/>
      <c r="X52" s="202"/>
      <c r="Y52" s="185"/>
      <c r="Z52" s="320" t="str">
        <f t="shared" ref="Z52:Z54" si="223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46" t="str">
        <f t="shared" ref="AB52:AB54" si="224">IF($Z52="","",IF($Z52="국도비","금액입력",0))</f>
        <v/>
      </c>
      <c r="AC52" s="447">
        <f t="shared" ref="AC52:AC54" si="225">IFERROR(P52-AB52,0)</f>
        <v>0</v>
      </c>
      <c r="AD52" s="320" t="str">
        <f t="shared" si="8"/>
        <v>OK</v>
      </c>
      <c r="AE52" s="7"/>
      <c r="AF52" s="462" t="str">
        <f t="shared" ref="AF52:AF54" si="226">IF($Z52="","",IF($Z52="국도비","금액입력",0))</f>
        <v/>
      </c>
      <c r="AG52" s="463">
        <f t="shared" ref="AG52:AG54" si="227">IFERROR(R52-AF52,0)</f>
        <v>0</v>
      </c>
      <c r="AH52" s="343" t="str">
        <f t="shared" si="9"/>
        <v>OK</v>
      </c>
      <c r="AI52" s="7"/>
      <c r="AJ52" s="189" t="str">
        <f t="shared" ref="AJ52:AJ54" si="228">IF($Z52="","",IF($Z52="도비","-","세입번호입력"))</f>
        <v/>
      </c>
      <c r="AK52" s="320" t="str">
        <f t="shared" ref="AK52:AK54" si="229">IF(OR(AJ52="",AJ52="-",AJ52="세입번호입력"),"", COUNTIF($AJ$7:$AJ$1013,AJ52))</f>
        <v/>
      </c>
      <c r="AL52" s="320" t="str">
        <f t="shared" ref="AL52:AL54" si="230">IF($AJ52="","",IF($Z52="도비", "OK",IF(AND($Z52="국도비",$AJ52="세입없음"),"OK", IF(AND($Z52="국도비",$AJ52="세입번호입력"),"@@","OK"))))</f>
        <v/>
      </c>
      <c r="AM52" s="320" t="str">
        <f t="shared" ref="AM52:AM54" si="231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20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26" t="str">
        <f>IF(D53="","",COUNTA($C$7:C53)-COUNTBLANK($C$7:C53)+12)</f>
        <v/>
      </c>
      <c r="B53" s="127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27" t="str">
        <f>IF(D53="","",IF(OR(D53="교육지원과",D53="총무과",D53="인사과"),"직접입력",VLOOKUP(D53,구분표!$A$3:$C$258,3,)))</f>
        <v/>
      </c>
      <c r="D53" s="194"/>
      <c r="E53" s="181"/>
      <c r="F53" s="350" t="str">
        <f t="shared" ref="F53:G54" si="232">IF($E53="","",IF($E53="2추","직접입력","-"))</f>
        <v/>
      </c>
      <c r="G53" s="350" t="str">
        <f t="shared" si="232"/>
        <v/>
      </c>
      <c r="H53" s="181"/>
      <c r="I53" s="127" t="str">
        <f>IF(H53="","",VLOOKUP($H53,구분표!$K$3:$M$147,2,FALSE))</f>
        <v/>
      </c>
      <c r="J53" s="127" t="str">
        <f>IF(I53="","",VLOOKUP($H53,구분표!$K$3:$M$147,3,FALSE))</f>
        <v/>
      </c>
      <c r="K53" s="201"/>
      <c r="L53" s="201"/>
      <c r="M53" s="419" t="str">
        <f t="shared" ref="M53:M54" si="233">IF($E53="","",IF(OR($E53="2추", $E53="1추", $E53="본예산"), "금액입력", "-"))</f>
        <v/>
      </c>
      <c r="N53" s="419" t="str">
        <f t="shared" ref="N53:N54" si="234">IF($E53="", "", IF($E53="2추","금액입력", "-"))</f>
        <v/>
      </c>
      <c r="O53" s="421" t="str">
        <f t="shared" si="219"/>
        <v/>
      </c>
      <c r="P53" s="420"/>
      <c r="Q53" s="421">
        <f t="shared" si="220"/>
        <v>0</v>
      </c>
      <c r="R53" s="422"/>
      <c r="S53" s="423">
        <f t="shared" si="221"/>
        <v>0</v>
      </c>
      <c r="T53" s="133" t="str">
        <f t="shared" si="222"/>
        <v>X</v>
      </c>
      <c r="U53" s="198"/>
      <c r="V53" s="192"/>
      <c r="W53" s="185"/>
      <c r="X53" s="202"/>
      <c r="Y53" s="185"/>
      <c r="Z53" s="320" t="str">
        <f t="shared" si="223"/>
        <v/>
      </c>
      <c r="AA53" s="60"/>
      <c r="AB53" s="446" t="str">
        <f t="shared" si="224"/>
        <v/>
      </c>
      <c r="AC53" s="447">
        <f t="shared" si="225"/>
        <v>0</v>
      </c>
      <c r="AD53" s="320" t="str">
        <f t="shared" si="8"/>
        <v>OK</v>
      </c>
      <c r="AE53" s="7"/>
      <c r="AF53" s="462" t="str">
        <f t="shared" si="226"/>
        <v/>
      </c>
      <c r="AG53" s="463">
        <f t="shared" si="227"/>
        <v>0</v>
      </c>
      <c r="AH53" s="343" t="str">
        <f t="shared" si="9"/>
        <v>OK</v>
      </c>
      <c r="AI53" s="7"/>
      <c r="AJ53" s="189" t="str">
        <f t="shared" si="228"/>
        <v/>
      </c>
      <c r="AK53" s="320" t="str">
        <f t="shared" si="229"/>
        <v/>
      </c>
      <c r="AL53" s="320" t="str">
        <f t="shared" si="230"/>
        <v/>
      </c>
      <c r="AM53" s="320" t="str">
        <f t="shared" si="231"/>
        <v/>
      </c>
      <c r="AN53" s="320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26" t="str">
        <f>IF(D54="","",COUNTA($C$7:C54)-COUNTBLANK($C$7:C54)+12)</f>
        <v/>
      </c>
      <c r="B54" s="127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27" t="str">
        <f>IF(D54="","",IF(OR(D54="교육지원과",D54="총무과",D54="인사과"),"직접입력",VLOOKUP(D54,구분표!$A$3:$C$258,3,)))</f>
        <v/>
      </c>
      <c r="D54" s="194"/>
      <c r="E54" s="181"/>
      <c r="F54" s="350" t="str">
        <f t="shared" si="232"/>
        <v/>
      </c>
      <c r="G54" s="350" t="str">
        <f t="shared" si="232"/>
        <v/>
      </c>
      <c r="H54" s="181"/>
      <c r="I54" s="127" t="str">
        <f>IF(H54="","",VLOOKUP($H54,구분표!$K$3:$M$147,2,FALSE))</f>
        <v/>
      </c>
      <c r="J54" s="127" t="str">
        <f>IF(I54="","",VLOOKUP($H54,구분표!$K$3:$M$147,3,FALSE))</f>
        <v/>
      </c>
      <c r="K54" s="201"/>
      <c r="L54" s="201"/>
      <c r="M54" s="419" t="str">
        <f t="shared" si="233"/>
        <v/>
      </c>
      <c r="N54" s="419" t="str">
        <f t="shared" si="234"/>
        <v/>
      </c>
      <c r="O54" s="421" t="str">
        <f t="shared" si="219"/>
        <v/>
      </c>
      <c r="P54" s="420"/>
      <c r="Q54" s="421">
        <f t="shared" si="220"/>
        <v>0</v>
      </c>
      <c r="R54" s="422"/>
      <c r="S54" s="423">
        <f t="shared" si="221"/>
        <v>0</v>
      </c>
      <c r="T54" s="133" t="str">
        <f t="shared" si="222"/>
        <v>X</v>
      </c>
      <c r="U54" s="198"/>
      <c r="V54" s="192"/>
      <c r="W54" s="185"/>
      <c r="X54" s="202"/>
      <c r="Y54" s="185"/>
      <c r="Z54" s="320" t="str">
        <f t="shared" si="223"/>
        <v/>
      </c>
      <c r="AA54" s="60"/>
      <c r="AB54" s="446" t="str">
        <f t="shared" si="224"/>
        <v/>
      </c>
      <c r="AC54" s="447">
        <f t="shared" si="225"/>
        <v>0</v>
      </c>
      <c r="AD54" s="320" t="str">
        <f t="shared" si="8"/>
        <v>OK</v>
      </c>
      <c r="AE54" s="7"/>
      <c r="AF54" s="462" t="str">
        <f t="shared" si="226"/>
        <v/>
      </c>
      <c r="AG54" s="463">
        <f t="shared" si="227"/>
        <v>0</v>
      </c>
      <c r="AH54" s="343" t="str">
        <f t="shared" si="9"/>
        <v>OK</v>
      </c>
      <c r="AI54" s="7"/>
      <c r="AJ54" s="189" t="str">
        <f t="shared" si="228"/>
        <v/>
      </c>
      <c r="AK54" s="320" t="str">
        <f t="shared" si="229"/>
        <v/>
      </c>
      <c r="AL54" s="320" t="str">
        <f t="shared" si="230"/>
        <v/>
      </c>
      <c r="AM54" s="320" t="str">
        <f t="shared" si="231"/>
        <v/>
      </c>
      <c r="AN54" s="320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37"/>
      <c r="B55" s="962" t="s">
        <v>786</v>
      </c>
      <c r="C55" s="962"/>
      <c r="D55" s="962"/>
      <c r="E55" s="962"/>
      <c r="F55" s="962"/>
      <c r="G55" s="962"/>
      <c r="H55" s="962"/>
      <c r="I55" s="962"/>
      <c r="J55" s="962"/>
      <c r="K55" s="82"/>
      <c r="L55" s="326" t="str">
        <f>SUBTOTAL(3,L56:L58)&amp;"건"</f>
        <v>0건</v>
      </c>
      <c r="M55" s="437">
        <f t="shared" ref="M55:S55" si="235">SUBTOTAL(9,M56:M58)</f>
        <v>0</v>
      </c>
      <c r="N55" s="437">
        <f t="shared" si="235"/>
        <v>0</v>
      </c>
      <c r="O55" s="437">
        <f t="shared" si="235"/>
        <v>0</v>
      </c>
      <c r="P55" s="437">
        <f t="shared" si="235"/>
        <v>0</v>
      </c>
      <c r="Q55" s="437">
        <f t="shared" si="235"/>
        <v>0</v>
      </c>
      <c r="R55" s="437">
        <f t="shared" si="235"/>
        <v>0</v>
      </c>
      <c r="S55" s="437">
        <f t="shared" si="235"/>
        <v>0</v>
      </c>
      <c r="T55" s="81"/>
      <c r="U55" s="83"/>
      <c r="V55" s="83"/>
      <c r="W55" s="84"/>
      <c r="X55" s="39"/>
      <c r="Y55" s="85"/>
      <c r="Z55" s="81"/>
      <c r="AA55" s="43"/>
      <c r="AB55" s="437">
        <f t="shared" ref="AB55:AC55" si="236">SUBTOTAL(9,AB56:AB58)</f>
        <v>0</v>
      </c>
      <c r="AC55" s="437">
        <f t="shared" si="236"/>
        <v>0</v>
      </c>
      <c r="AD55" s="511" t="str">
        <f>IF(COUNTIF(AD56:AD58,"@@")&gt;0,"@@","OK")</f>
        <v>OK</v>
      </c>
      <c r="AE55" s="52"/>
      <c r="AF55" s="437">
        <f t="shared" ref="AF55:AG55" si="237">SUBTOTAL(9,AF56:AF58)</f>
        <v>0</v>
      </c>
      <c r="AG55" s="437">
        <f t="shared" si="237"/>
        <v>0</v>
      </c>
      <c r="AH55" s="511" t="str">
        <f>IF(COUNTIF(AH56:AH58,"@@")&gt;0,"@@","OK")</f>
        <v>OK</v>
      </c>
      <c r="AI55" s="43"/>
      <c r="AJ55" s="80"/>
      <c r="AK55" s="80"/>
      <c r="AL55" s="511" t="str">
        <f>IF(COUNTIF(AL56:AL58,"@@")&gt;0,"@@","OK")</f>
        <v>OK</v>
      </c>
      <c r="AM55" s="80"/>
      <c r="AN55" s="511" t="str">
        <f>IF(COUNTIF(AN56:AN58,"@@")&gt;0,"@@","OK")</f>
        <v>OK</v>
      </c>
    </row>
    <row r="56" spans="1:40" s="19" customFormat="1" ht="80.099999999999994" customHeight="1">
      <c r="A56" s="126" t="str">
        <f>IF(D56="","",COUNTA($C$7:C56)-COUNTBLANK($C$7:C56)+13)</f>
        <v/>
      </c>
      <c r="B56" s="127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27" t="str">
        <f>IF(D56="","",IF(OR(D56="교육지원과",D56="총무과",D56="인사과"),"직접입력",VLOOKUP(D56,구분표!$A$3:$C$258,3,)))</f>
        <v/>
      </c>
      <c r="D56" s="194"/>
      <c r="E56" s="181"/>
      <c r="F56" s="350" t="str">
        <f>IF($E56="","",IF($E56="2추","직접입력","-"))</f>
        <v/>
      </c>
      <c r="G56" s="350" t="str">
        <f>IF($E56="","",IF($E56="2추","직접입력","-"))</f>
        <v/>
      </c>
      <c r="H56" s="181"/>
      <c r="I56" s="127" t="str">
        <f>IF(H56="","",VLOOKUP($H56,구분표!$K$3:$M$147,2,FALSE))</f>
        <v/>
      </c>
      <c r="J56" s="127" t="str">
        <f>IF(I56="","",VLOOKUP($H56,구분표!$K$3:$M$147,3,FALSE))</f>
        <v/>
      </c>
      <c r="K56" s="201"/>
      <c r="L56" s="201"/>
      <c r="M56" s="419" t="str">
        <f>IF($E56="","",IF(OR($E56="2추", $E56="1추", $E56="본예산"), "금액입력", "-"))</f>
        <v/>
      </c>
      <c r="N56" s="419" t="str">
        <f>IF($E56="", "", IF($E56="2추","금액입력", "-"))</f>
        <v/>
      </c>
      <c r="O56" s="421" t="str">
        <f t="shared" ref="O56:O58" si="238">IF($E56="","",SUM(M56:N56))</f>
        <v/>
      </c>
      <c r="P56" s="420"/>
      <c r="Q56" s="421">
        <f t="shared" ref="Q56:Q58" si="239">SUM(O56:P56)</f>
        <v>0</v>
      </c>
      <c r="R56" s="422"/>
      <c r="S56" s="423">
        <f t="shared" ref="S56:S58" si="240">SUM(O56,R56)</f>
        <v>0</v>
      </c>
      <c r="T56" s="133" t="str">
        <f t="shared" ref="T56:T58" si="241">IF(AND((Q56=0),(S56&gt;0)),"O",IF(AND((P56&lt;0),(Q56-S56&lt;0)),"O","X"))</f>
        <v>X</v>
      </c>
      <c r="U56" s="198"/>
      <c r="V56" s="192"/>
      <c r="W56" s="185"/>
      <c r="X56" s="202"/>
      <c r="Y56" s="185"/>
      <c r="Z56" s="320" t="str">
        <f t="shared" ref="Z56:Z58" si="242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46" t="str">
        <f t="shared" ref="AB56:AB58" si="243">IF($Z56="","",IF($Z56="국도비","금액입력",0))</f>
        <v/>
      </c>
      <c r="AC56" s="447">
        <f t="shared" ref="AC56:AC58" si="244">IFERROR(P56-AB56,0)</f>
        <v>0</v>
      </c>
      <c r="AD56" s="320" t="str">
        <f t="shared" si="8"/>
        <v>OK</v>
      </c>
      <c r="AE56" s="7"/>
      <c r="AF56" s="462" t="str">
        <f t="shared" ref="AF56:AF58" si="245">IF($Z56="","",IF($Z56="국도비","금액입력",0))</f>
        <v/>
      </c>
      <c r="AG56" s="463">
        <f t="shared" ref="AG56:AG58" si="246">IFERROR(R56-AF56,0)</f>
        <v>0</v>
      </c>
      <c r="AH56" s="343" t="str">
        <f t="shared" si="9"/>
        <v>OK</v>
      </c>
      <c r="AI56" s="7"/>
      <c r="AJ56" s="189" t="str">
        <f t="shared" ref="AJ56:AJ58" si="247">IF($Z56="","",IF($Z56="도비","-","세입번호입력"))</f>
        <v/>
      </c>
      <c r="AK56" s="320" t="str">
        <f t="shared" ref="AK56:AK58" si="248">IF(OR(AJ56="",AJ56="-",AJ56="세입번호입력"),"", COUNTIF($AJ$7:$AJ$1013,AJ56))</f>
        <v/>
      </c>
      <c r="AL56" s="320" t="str">
        <f t="shared" ref="AL56:AL58" si="249">IF($AJ56="","",IF($Z56="도비", "OK",IF(AND($Z56="국도비",$AJ56="세입없음"),"OK", IF(AND($Z56="국도비",$AJ56="세입번호입력"),"@@","OK"))))</f>
        <v/>
      </c>
      <c r="AM56" s="320" t="str">
        <f t="shared" ref="AM56:AM58" si="250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20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26" t="str">
        <f>IF(D57="","",COUNTA($C$7:C57)-COUNTBLANK($C$7:C57)+13)</f>
        <v/>
      </c>
      <c r="B57" s="127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27" t="str">
        <f>IF(D57="","",IF(OR(D57="교육지원과",D57="총무과",D57="인사과"),"직접입력",VLOOKUP(D57,구분표!$A$3:$C$258,3,)))</f>
        <v/>
      </c>
      <c r="D57" s="194"/>
      <c r="E57" s="181"/>
      <c r="F57" s="350" t="str">
        <f t="shared" ref="F57:G58" si="251">IF($E57="","",IF($E57="2추","직접입력","-"))</f>
        <v/>
      </c>
      <c r="G57" s="350" t="str">
        <f t="shared" si="251"/>
        <v/>
      </c>
      <c r="H57" s="181"/>
      <c r="I57" s="127" t="str">
        <f>IF(H57="","",VLOOKUP($H57,구분표!$K$3:$M$147,2,FALSE))</f>
        <v/>
      </c>
      <c r="J57" s="127" t="str">
        <f>IF(I57="","",VLOOKUP($H57,구분표!$K$3:$M$147,3,FALSE))</f>
        <v/>
      </c>
      <c r="K57" s="201"/>
      <c r="L57" s="201"/>
      <c r="M57" s="419" t="str">
        <f t="shared" ref="M57:M58" si="252">IF($E57="","",IF(OR($E57="2추", $E57="1추", $E57="본예산"), "금액입력", "-"))</f>
        <v/>
      </c>
      <c r="N57" s="419" t="str">
        <f t="shared" ref="N57:N58" si="253">IF($E57="", "", IF($E57="2추","금액입력", "-"))</f>
        <v/>
      </c>
      <c r="O57" s="421" t="str">
        <f t="shared" si="238"/>
        <v/>
      </c>
      <c r="P57" s="420"/>
      <c r="Q57" s="421">
        <f t="shared" si="239"/>
        <v>0</v>
      </c>
      <c r="R57" s="422"/>
      <c r="S57" s="423">
        <f t="shared" si="240"/>
        <v>0</v>
      </c>
      <c r="T57" s="133" t="str">
        <f t="shared" si="241"/>
        <v>X</v>
      </c>
      <c r="U57" s="198"/>
      <c r="V57" s="192"/>
      <c r="W57" s="185"/>
      <c r="X57" s="202"/>
      <c r="Y57" s="185"/>
      <c r="Z57" s="320" t="str">
        <f t="shared" si="242"/>
        <v/>
      </c>
      <c r="AA57" s="60"/>
      <c r="AB57" s="446" t="str">
        <f t="shared" si="243"/>
        <v/>
      </c>
      <c r="AC57" s="447">
        <f t="shared" si="244"/>
        <v>0</v>
      </c>
      <c r="AD57" s="320" t="str">
        <f t="shared" si="8"/>
        <v>OK</v>
      </c>
      <c r="AE57" s="7"/>
      <c r="AF57" s="462" t="str">
        <f t="shared" si="245"/>
        <v/>
      </c>
      <c r="AG57" s="463">
        <f t="shared" si="246"/>
        <v>0</v>
      </c>
      <c r="AH57" s="343" t="str">
        <f t="shared" si="9"/>
        <v>OK</v>
      </c>
      <c r="AI57" s="7"/>
      <c r="AJ57" s="189" t="str">
        <f t="shared" si="247"/>
        <v/>
      </c>
      <c r="AK57" s="320" t="str">
        <f t="shared" si="248"/>
        <v/>
      </c>
      <c r="AL57" s="320" t="str">
        <f t="shared" si="249"/>
        <v/>
      </c>
      <c r="AM57" s="320" t="str">
        <f t="shared" si="250"/>
        <v/>
      </c>
      <c r="AN57" s="320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26" t="str">
        <f>IF(D58="","",COUNTA($C$7:C58)-COUNTBLANK($C$7:C58)+13)</f>
        <v/>
      </c>
      <c r="B58" s="127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27" t="str">
        <f>IF(D58="","",IF(OR(D58="교육지원과",D58="총무과",D58="인사과"),"직접입력",VLOOKUP(D58,구분표!$A$3:$C$258,3,)))</f>
        <v/>
      </c>
      <c r="D58" s="194"/>
      <c r="E58" s="181"/>
      <c r="F58" s="350" t="str">
        <f t="shared" si="251"/>
        <v/>
      </c>
      <c r="G58" s="350" t="str">
        <f t="shared" si="251"/>
        <v/>
      </c>
      <c r="H58" s="181"/>
      <c r="I58" s="127" t="str">
        <f>IF(H58="","",VLOOKUP($H58,구분표!$K$3:$M$147,2,FALSE))</f>
        <v/>
      </c>
      <c r="J58" s="127" t="str">
        <f>IF(I58="","",VLOOKUP($H58,구분표!$K$3:$M$147,3,FALSE))</f>
        <v/>
      </c>
      <c r="K58" s="201"/>
      <c r="L58" s="201"/>
      <c r="M58" s="419" t="str">
        <f t="shared" si="252"/>
        <v/>
      </c>
      <c r="N58" s="419" t="str">
        <f t="shared" si="253"/>
        <v/>
      </c>
      <c r="O58" s="421" t="str">
        <f t="shared" si="238"/>
        <v/>
      </c>
      <c r="P58" s="420"/>
      <c r="Q58" s="421">
        <f t="shared" si="239"/>
        <v>0</v>
      </c>
      <c r="R58" s="422"/>
      <c r="S58" s="423">
        <f t="shared" si="240"/>
        <v>0</v>
      </c>
      <c r="T58" s="133" t="str">
        <f t="shared" si="241"/>
        <v>X</v>
      </c>
      <c r="U58" s="198"/>
      <c r="V58" s="192"/>
      <c r="W58" s="185"/>
      <c r="X58" s="202"/>
      <c r="Y58" s="185"/>
      <c r="Z58" s="320" t="str">
        <f t="shared" si="242"/>
        <v/>
      </c>
      <c r="AA58" s="60"/>
      <c r="AB58" s="446" t="str">
        <f t="shared" si="243"/>
        <v/>
      </c>
      <c r="AC58" s="447">
        <f t="shared" si="244"/>
        <v>0</v>
      </c>
      <c r="AD58" s="320" t="str">
        <f t="shared" si="8"/>
        <v>OK</v>
      </c>
      <c r="AE58" s="7"/>
      <c r="AF58" s="462" t="str">
        <f t="shared" si="245"/>
        <v/>
      </c>
      <c r="AG58" s="463">
        <f t="shared" si="246"/>
        <v>0</v>
      </c>
      <c r="AH58" s="343" t="str">
        <f t="shared" si="9"/>
        <v>OK</v>
      </c>
      <c r="AI58" s="7"/>
      <c r="AJ58" s="189" t="str">
        <f t="shared" si="247"/>
        <v/>
      </c>
      <c r="AK58" s="320" t="str">
        <f t="shared" si="248"/>
        <v/>
      </c>
      <c r="AL58" s="320" t="str">
        <f t="shared" si="249"/>
        <v/>
      </c>
      <c r="AM58" s="320" t="str">
        <f t="shared" si="250"/>
        <v/>
      </c>
      <c r="AN58" s="320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37"/>
      <c r="B59" s="962" t="s">
        <v>787</v>
      </c>
      <c r="C59" s="962"/>
      <c r="D59" s="962"/>
      <c r="E59" s="962"/>
      <c r="F59" s="962"/>
      <c r="G59" s="962"/>
      <c r="H59" s="962"/>
      <c r="I59" s="962"/>
      <c r="J59" s="962"/>
      <c r="K59" s="82"/>
      <c r="L59" s="326" t="str">
        <f>SUBTOTAL(3,L60:L62)&amp;"건"</f>
        <v>0건</v>
      </c>
      <c r="M59" s="437">
        <f t="shared" ref="M59:S59" si="254">SUBTOTAL(9,M60:M62)</f>
        <v>0</v>
      </c>
      <c r="N59" s="437">
        <f t="shared" si="254"/>
        <v>0</v>
      </c>
      <c r="O59" s="437">
        <f t="shared" si="254"/>
        <v>0</v>
      </c>
      <c r="P59" s="437">
        <f t="shared" si="254"/>
        <v>0</v>
      </c>
      <c r="Q59" s="437">
        <f t="shared" si="254"/>
        <v>0</v>
      </c>
      <c r="R59" s="437">
        <f t="shared" si="254"/>
        <v>0</v>
      </c>
      <c r="S59" s="437">
        <f t="shared" si="254"/>
        <v>0</v>
      </c>
      <c r="T59" s="81"/>
      <c r="U59" s="83"/>
      <c r="V59" s="83"/>
      <c r="W59" s="84"/>
      <c r="X59" s="39"/>
      <c r="Y59" s="85"/>
      <c r="Z59" s="81"/>
      <c r="AA59" s="43"/>
      <c r="AB59" s="437">
        <f t="shared" ref="AB59:AC59" si="255">SUBTOTAL(9,AB60:AB62)</f>
        <v>0</v>
      </c>
      <c r="AC59" s="437">
        <f t="shared" si="255"/>
        <v>0</v>
      </c>
      <c r="AD59" s="511" t="str">
        <f>IF(COUNTIF(AD60:AD62,"@@")&gt;0,"@@","OK")</f>
        <v>OK</v>
      </c>
      <c r="AE59" s="52"/>
      <c r="AF59" s="437">
        <f t="shared" ref="AF59:AG59" si="256">SUBTOTAL(9,AF60:AF62)</f>
        <v>0</v>
      </c>
      <c r="AG59" s="437">
        <f t="shared" si="256"/>
        <v>0</v>
      </c>
      <c r="AH59" s="511" t="str">
        <f>IF(COUNTIF(AH60:AH62,"@@")&gt;0,"@@","OK")</f>
        <v>OK</v>
      </c>
      <c r="AI59" s="43"/>
      <c r="AJ59" s="80"/>
      <c r="AK59" s="80"/>
      <c r="AL59" s="511" t="str">
        <f>IF(COUNTIF(AL60:AL62,"@@")&gt;0,"@@","OK")</f>
        <v>OK</v>
      </c>
      <c r="AM59" s="80"/>
      <c r="AN59" s="511" t="str">
        <f>IF(COUNTIF(AN60:AN62,"@@")&gt;0,"@@","OK")</f>
        <v>OK</v>
      </c>
    </row>
    <row r="60" spans="1:40" s="19" customFormat="1" ht="80.099999999999994" customHeight="1">
      <c r="A60" s="126" t="str">
        <f>IF(D60="","",COUNTA($C$7:C60)-COUNTBLANK($C$7:C60)+14)</f>
        <v/>
      </c>
      <c r="B60" s="127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27" t="str">
        <f>IF(D60="","",IF(OR(D60="교육지원과",D60="총무과",D60="인사과"),"직접입력",VLOOKUP(D60,구분표!$A$3:$C$258,3,)))</f>
        <v/>
      </c>
      <c r="D60" s="194"/>
      <c r="E60" s="181"/>
      <c r="F60" s="350" t="str">
        <f>IF($E60="","",IF($E60="2추","직접입력","-"))</f>
        <v/>
      </c>
      <c r="G60" s="350" t="str">
        <f>IF($E60="","",IF($E60="2추","직접입력","-"))</f>
        <v/>
      </c>
      <c r="H60" s="181"/>
      <c r="I60" s="127" t="str">
        <f>IF(H60="","",VLOOKUP($H60,구분표!$K$3:$M$147,2,FALSE))</f>
        <v/>
      </c>
      <c r="J60" s="127" t="str">
        <f>IF(I60="","",VLOOKUP($H60,구분표!$K$3:$M$147,3,FALSE))</f>
        <v/>
      </c>
      <c r="K60" s="201"/>
      <c r="L60" s="201"/>
      <c r="M60" s="419" t="str">
        <f>IF($E60="","",IF(OR($E60="2추", $E60="1추", $E60="본예산"), "금액입력", "-"))</f>
        <v/>
      </c>
      <c r="N60" s="419" t="str">
        <f>IF($E60="", "", IF($E60="2추","금액입력", "-"))</f>
        <v/>
      </c>
      <c r="O60" s="421" t="str">
        <f t="shared" ref="O60:O62" si="257">IF($E60="","",SUM(M60:N60))</f>
        <v/>
      </c>
      <c r="P60" s="420"/>
      <c r="Q60" s="421">
        <f t="shared" ref="Q60:Q62" si="258">SUM(O60:P60)</f>
        <v>0</v>
      </c>
      <c r="R60" s="422"/>
      <c r="S60" s="423">
        <f t="shared" ref="S60:S62" si="259">SUM(O60,R60)</f>
        <v>0</v>
      </c>
      <c r="T60" s="133" t="str">
        <f t="shared" ref="T60:T62" si="260">IF(AND((Q60=0),(S60&gt;0)),"O",IF(AND((P60&lt;0),(Q60-S60&lt;0)),"O","X"))</f>
        <v>X</v>
      </c>
      <c r="U60" s="198"/>
      <c r="V60" s="192"/>
      <c r="W60" s="185"/>
      <c r="X60" s="202"/>
      <c r="Y60" s="185"/>
      <c r="Z60" s="320" t="str">
        <f t="shared" ref="Z60:Z62" si="261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46" t="str">
        <f t="shared" ref="AB60:AB62" si="262">IF($Z60="","",IF($Z60="국도비","금액입력",0))</f>
        <v/>
      </c>
      <c r="AC60" s="447">
        <f t="shared" ref="AC60:AC62" si="263">IFERROR(P60-AB60,0)</f>
        <v>0</v>
      </c>
      <c r="AD60" s="320" t="str">
        <f t="shared" si="8"/>
        <v>OK</v>
      </c>
      <c r="AE60" s="7"/>
      <c r="AF60" s="462" t="str">
        <f t="shared" ref="AF60:AF62" si="264">IF($Z60="","",IF($Z60="국도비","금액입력",0))</f>
        <v/>
      </c>
      <c r="AG60" s="463">
        <f t="shared" ref="AG60:AG62" si="265">IFERROR(R60-AF60,0)</f>
        <v>0</v>
      </c>
      <c r="AH60" s="343" t="str">
        <f t="shared" si="9"/>
        <v>OK</v>
      </c>
      <c r="AI60" s="7"/>
      <c r="AJ60" s="189" t="str">
        <f t="shared" ref="AJ60:AJ62" si="266">IF($Z60="","",IF($Z60="도비","-","세입번호입력"))</f>
        <v/>
      </c>
      <c r="AK60" s="320" t="str">
        <f t="shared" ref="AK60:AK62" si="267">IF(OR(AJ60="",AJ60="-",AJ60="세입번호입력"),"", COUNTIF($AJ$7:$AJ$1013,AJ60))</f>
        <v/>
      </c>
      <c r="AL60" s="320" t="str">
        <f t="shared" ref="AL60:AL62" si="268">IF($AJ60="","",IF($Z60="도비", "OK",IF(AND($Z60="국도비",$AJ60="세입없음"),"OK", IF(AND($Z60="국도비",$AJ60="세입번호입력"),"@@","OK"))))</f>
        <v/>
      </c>
      <c r="AM60" s="320" t="str">
        <f t="shared" ref="AM60:AM62" si="269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20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26" t="str">
        <f>IF(D61="","",COUNTA($C$7:C61)-COUNTBLANK($C$7:C61)+14)</f>
        <v/>
      </c>
      <c r="B61" s="127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27" t="str">
        <f>IF(D61="","",IF(OR(D61="교육지원과",D61="총무과",D61="인사과"),"직접입력",VLOOKUP(D61,구분표!$A$3:$C$258,3,)))</f>
        <v/>
      </c>
      <c r="D61" s="194"/>
      <c r="E61" s="181"/>
      <c r="F61" s="350" t="str">
        <f t="shared" ref="F61:G62" si="270">IF($E61="","",IF($E61="2추","직접입력","-"))</f>
        <v/>
      </c>
      <c r="G61" s="350" t="str">
        <f t="shared" si="270"/>
        <v/>
      </c>
      <c r="H61" s="181"/>
      <c r="I61" s="127" t="str">
        <f>IF(H61="","",VLOOKUP($H61,구분표!$K$3:$M$147,2,FALSE))</f>
        <v/>
      </c>
      <c r="J61" s="127" t="str">
        <f>IF(I61="","",VLOOKUP($H61,구분표!$K$3:$M$147,3,FALSE))</f>
        <v/>
      </c>
      <c r="K61" s="201"/>
      <c r="L61" s="201"/>
      <c r="M61" s="419" t="str">
        <f t="shared" ref="M61:M62" si="271">IF($E61="","",IF(OR($E61="2추", $E61="1추", $E61="본예산"), "금액입력", "-"))</f>
        <v/>
      </c>
      <c r="N61" s="419" t="str">
        <f t="shared" ref="N61:N62" si="272">IF($E61="", "", IF($E61="2추","금액입력", "-"))</f>
        <v/>
      </c>
      <c r="O61" s="421" t="str">
        <f t="shared" si="257"/>
        <v/>
      </c>
      <c r="P61" s="420"/>
      <c r="Q61" s="421">
        <f t="shared" si="258"/>
        <v>0</v>
      </c>
      <c r="R61" s="422"/>
      <c r="S61" s="423">
        <f t="shared" si="259"/>
        <v>0</v>
      </c>
      <c r="T61" s="133" t="str">
        <f t="shared" si="260"/>
        <v>X</v>
      </c>
      <c r="U61" s="198"/>
      <c r="V61" s="192"/>
      <c r="W61" s="185"/>
      <c r="X61" s="202"/>
      <c r="Y61" s="185"/>
      <c r="Z61" s="320" t="str">
        <f t="shared" si="261"/>
        <v/>
      </c>
      <c r="AA61" s="60"/>
      <c r="AB61" s="446" t="str">
        <f t="shared" si="262"/>
        <v/>
      </c>
      <c r="AC61" s="447">
        <f t="shared" si="263"/>
        <v>0</v>
      </c>
      <c r="AD61" s="320" t="str">
        <f t="shared" si="8"/>
        <v>OK</v>
      </c>
      <c r="AE61" s="7"/>
      <c r="AF61" s="462" t="str">
        <f t="shared" si="264"/>
        <v/>
      </c>
      <c r="AG61" s="463">
        <f t="shared" si="265"/>
        <v>0</v>
      </c>
      <c r="AH61" s="343" t="str">
        <f t="shared" si="9"/>
        <v>OK</v>
      </c>
      <c r="AI61" s="7"/>
      <c r="AJ61" s="189" t="str">
        <f t="shared" si="266"/>
        <v/>
      </c>
      <c r="AK61" s="320" t="str">
        <f t="shared" si="267"/>
        <v/>
      </c>
      <c r="AL61" s="320" t="str">
        <f t="shared" si="268"/>
        <v/>
      </c>
      <c r="AM61" s="320" t="str">
        <f t="shared" si="269"/>
        <v/>
      </c>
      <c r="AN61" s="320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26" t="str">
        <f>IF(D62="","",COUNTA($C$7:C62)-COUNTBLANK($C$7:C62)+14)</f>
        <v/>
      </c>
      <c r="B62" s="127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27" t="str">
        <f>IF(D62="","",IF(OR(D62="교육지원과",D62="총무과",D62="인사과"),"직접입력",VLOOKUP(D62,구분표!$A$3:$C$258,3,)))</f>
        <v/>
      </c>
      <c r="D62" s="194"/>
      <c r="E62" s="181"/>
      <c r="F62" s="350" t="str">
        <f t="shared" si="270"/>
        <v/>
      </c>
      <c r="G62" s="350" t="str">
        <f t="shared" si="270"/>
        <v/>
      </c>
      <c r="H62" s="181"/>
      <c r="I62" s="127" t="str">
        <f>IF(H62="","",VLOOKUP($H62,구분표!$K$3:$M$147,2,FALSE))</f>
        <v/>
      </c>
      <c r="J62" s="127" t="str">
        <f>IF(I62="","",VLOOKUP($H62,구분표!$K$3:$M$147,3,FALSE))</f>
        <v/>
      </c>
      <c r="K62" s="201"/>
      <c r="L62" s="201"/>
      <c r="M62" s="419" t="str">
        <f t="shared" si="271"/>
        <v/>
      </c>
      <c r="N62" s="419" t="str">
        <f t="shared" si="272"/>
        <v/>
      </c>
      <c r="O62" s="421" t="str">
        <f t="shared" si="257"/>
        <v/>
      </c>
      <c r="P62" s="420"/>
      <c r="Q62" s="421">
        <f t="shared" si="258"/>
        <v>0</v>
      </c>
      <c r="R62" s="422"/>
      <c r="S62" s="423">
        <f t="shared" si="259"/>
        <v>0</v>
      </c>
      <c r="T62" s="133" t="str">
        <f t="shared" si="260"/>
        <v>X</v>
      </c>
      <c r="U62" s="198"/>
      <c r="V62" s="192"/>
      <c r="W62" s="185"/>
      <c r="X62" s="202"/>
      <c r="Y62" s="185"/>
      <c r="Z62" s="320" t="str">
        <f t="shared" si="261"/>
        <v/>
      </c>
      <c r="AA62" s="60"/>
      <c r="AB62" s="446" t="str">
        <f t="shared" si="262"/>
        <v/>
      </c>
      <c r="AC62" s="447">
        <f t="shared" si="263"/>
        <v>0</v>
      </c>
      <c r="AD62" s="320" t="str">
        <f t="shared" si="8"/>
        <v>OK</v>
      </c>
      <c r="AE62" s="7"/>
      <c r="AF62" s="462" t="str">
        <f t="shared" si="264"/>
        <v/>
      </c>
      <c r="AG62" s="463">
        <f t="shared" si="265"/>
        <v>0</v>
      </c>
      <c r="AH62" s="343" t="str">
        <f t="shared" si="9"/>
        <v>OK</v>
      </c>
      <c r="AI62" s="7"/>
      <c r="AJ62" s="189" t="str">
        <f t="shared" si="266"/>
        <v/>
      </c>
      <c r="AK62" s="320" t="str">
        <f t="shared" si="267"/>
        <v/>
      </c>
      <c r="AL62" s="320" t="str">
        <f t="shared" si="268"/>
        <v/>
      </c>
      <c r="AM62" s="320" t="str">
        <f t="shared" si="269"/>
        <v/>
      </c>
      <c r="AN62" s="320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37"/>
      <c r="B63" s="962" t="s">
        <v>788</v>
      </c>
      <c r="C63" s="962"/>
      <c r="D63" s="962"/>
      <c r="E63" s="962"/>
      <c r="F63" s="962"/>
      <c r="G63" s="962"/>
      <c r="H63" s="962"/>
      <c r="I63" s="962"/>
      <c r="J63" s="962"/>
      <c r="K63" s="82"/>
      <c r="L63" s="326" t="str">
        <f>SUBTOTAL(3,L64:L66)&amp;"건"</f>
        <v>0건</v>
      </c>
      <c r="M63" s="437">
        <f>SUBTOTAL(9,M64:M66)</f>
        <v>0</v>
      </c>
      <c r="N63" s="437">
        <f t="shared" ref="N63:S63" si="273">SUBTOTAL(9,N64:N66)</f>
        <v>0</v>
      </c>
      <c r="O63" s="437">
        <f t="shared" si="273"/>
        <v>0</v>
      </c>
      <c r="P63" s="437">
        <f t="shared" si="273"/>
        <v>0</v>
      </c>
      <c r="Q63" s="437">
        <f t="shared" si="273"/>
        <v>0</v>
      </c>
      <c r="R63" s="437">
        <f t="shared" si="273"/>
        <v>0</v>
      </c>
      <c r="S63" s="437">
        <f t="shared" si="273"/>
        <v>0</v>
      </c>
      <c r="T63" s="81"/>
      <c r="U63" s="83"/>
      <c r="V63" s="83"/>
      <c r="W63" s="84"/>
      <c r="X63" s="39"/>
      <c r="Y63" s="85"/>
      <c r="Z63" s="81"/>
      <c r="AA63" s="43"/>
      <c r="AB63" s="437">
        <f t="shared" ref="AB63:AC63" si="274">SUBTOTAL(9,AB64:AB66)</f>
        <v>0</v>
      </c>
      <c r="AC63" s="437">
        <f t="shared" si="274"/>
        <v>0</v>
      </c>
      <c r="AD63" s="511" t="str">
        <f>IF(COUNTIF(AD64:AD66,"@@")&gt;0,"@@","OK")</f>
        <v>OK</v>
      </c>
      <c r="AE63" s="52"/>
      <c r="AF63" s="437">
        <f t="shared" ref="AF63:AG63" si="275">SUBTOTAL(9,AF64:AF66)</f>
        <v>0</v>
      </c>
      <c r="AG63" s="437">
        <f t="shared" si="275"/>
        <v>0</v>
      </c>
      <c r="AH63" s="511" t="str">
        <f>IF(COUNTIF(AH64:AH66,"@@")&gt;0,"@@","OK")</f>
        <v>OK</v>
      </c>
      <c r="AI63" s="43"/>
      <c r="AJ63" s="80"/>
      <c r="AK63" s="80"/>
      <c r="AL63" s="511" t="str">
        <f>IF(COUNTIF(AL64:AL66,"@@")&gt;0,"@@","OK")</f>
        <v>OK</v>
      </c>
      <c r="AM63" s="80"/>
      <c r="AN63" s="511" t="str">
        <f>IF(COUNTIF(AN64:AN66,"@@")&gt;0,"@@","OK")</f>
        <v>OK</v>
      </c>
    </row>
    <row r="64" spans="1:40" s="19" customFormat="1" ht="80.099999999999994" customHeight="1">
      <c r="A64" s="126" t="str">
        <f>IF(D64="","",COUNTA($C$7:C64)-COUNTBLANK($C$7:C64)+15)</f>
        <v/>
      </c>
      <c r="B64" s="127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27" t="str">
        <f>IF(D64="","",IF(OR(D64="교육지원과",D64="총무과",D64="인사과"),"직접입력",VLOOKUP(D64,구분표!$A$3:$C$258,3,)))</f>
        <v/>
      </c>
      <c r="D64" s="194"/>
      <c r="E64" s="181"/>
      <c r="F64" s="350" t="str">
        <f>IF($E64="","",IF($E64="2추","직접입력","-"))</f>
        <v/>
      </c>
      <c r="G64" s="350" t="str">
        <f>IF($E64="","",IF($E64="2추","직접입력","-"))</f>
        <v/>
      </c>
      <c r="H64" s="181"/>
      <c r="I64" s="127" t="str">
        <f>IF(H64="","",VLOOKUP($H64,구분표!$K$3:$M$147,2,FALSE))</f>
        <v/>
      </c>
      <c r="J64" s="127" t="str">
        <f>IF(I64="","",VLOOKUP($H64,구분표!$K$3:$M$147,3,FALSE))</f>
        <v/>
      </c>
      <c r="K64" s="201"/>
      <c r="L64" s="201"/>
      <c r="M64" s="419" t="str">
        <f>IF($E64="","",IF(OR($E64="2추", $E64="1추", $E64="본예산"), "금액입력", "-"))</f>
        <v/>
      </c>
      <c r="N64" s="419" t="str">
        <f>IF($E64="", "", IF($E64="2추","금액입력", "-"))</f>
        <v/>
      </c>
      <c r="O64" s="421" t="str">
        <f t="shared" ref="O64:O66" si="276">IF($E64="","",SUM(M64:N64))</f>
        <v/>
      </c>
      <c r="P64" s="420"/>
      <c r="Q64" s="421">
        <f t="shared" ref="Q64:Q66" si="277">SUM(O64:P64)</f>
        <v>0</v>
      </c>
      <c r="R64" s="422"/>
      <c r="S64" s="423">
        <f t="shared" ref="S64:S66" si="278">SUM(O64,R64)</f>
        <v>0</v>
      </c>
      <c r="T64" s="133" t="str">
        <f t="shared" ref="T64:T66" si="279">IF(AND((Q64=0),(S64&gt;0)),"O",IF(AND((P64&lt;0),(Q64-S64&lt;0)),"O","X"))</f>
        <v>X</v>
      </c>
      <c r="U64" s="198"/>
      <c r="V64" s="192"/>
      <c r="W64" s="185"/>
      <c r="X64" s="202"/>
      <c r="Y64" s="185"/>
      <c r="Z64" s="320" t="str">
        <f t="shared" ref="Z64:Z66" si="280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46" t="str">
        <f t="shared" ref="AB64:AB66" si="281">IF($Z64="","",IF($Z64="국도비","금액입력",0))</f>
        <v/>
      </c>
      <c r="AC64" s="447">
        <f t="shared" ref="AC64:AC66" si="282">IFERROR(P64-AB64,0)</f>
        <v>0</v>
      </c>
      <c r="AD64" s="320" t="str">
        <f t="shared" si="8"/>
        <v>OK</v>
      </c>
      <c r="AE64" s="7"/>
      <c r="AF64" s="462" t="str">
        <f t="shared" ref="AF64:AF66" si="283">IF($Z64="","",IF($Z64="국도비","금액입력",0))</f>
        <v/>
      </c>
      <c r="AG64" s="463">
        <f t="shared" ref="AG64:AG66" si="284">IFERROR(R64-AF64,0)</f>
        <v>0</v>
      </c>
      <c r="AH64" s="343" t="str">
        <f t="shared" si="9"/>
        <v>OK</v>
      </c>
      <c r="AI64" s="7"/>
      <c r="AJ64" s="189" t="str">
        <f t="shared" ref="AJ64:AJ66" si="285">IF($Z64="","",IF($Z64="도비","-","세입번호입력"))</f>
        <v/>
      </c>
      <c r="AK64" s="320" t="str">
        <f t="shared" ref="AK64:AK66" si="286">IF(OR(AJ64="",AJ64="-",AJ64="세입번호입력"),"", COUNTIF($AJ$7:$AJ$1013,AJ64))</f>
        <v/>
      </c>
      <c r="AL64" s="320" t="str">
        <f t="shared" ref="AL64:AL66" si="287">IF($AJ64="","",IF($Z64="도비", "OK",IF(AND($Z64="국도비",$AJ64="세입없음"),"OK", IF(AND($Z64="국도비",$AJ64="세입번호입력"),"@@","OK"))))</f>
        <v/>
      </c>
      <c r="AM64" s="320" t="str">
        <f t="shared" ref="AM64:AM66" si="288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20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26" t="str">
        <f>IF(D65="","",COUNTA($C$7:C65)-COUNTBLANK($C$7:C65)+15)</f>
        <v/>
      </c>
      <c r="B65" s="127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27" t="str">
        <f>IF(D65="","",IF(OR(D65="교육지원과",D65="총무과",D65="인사과"),"직접입력",VLOOKUP(D65,구분표!$A$3:$C$258,3,)))</f>
        <v/>
      </c>
      <c r="D65" s="194"/>
      <c r="E65" s="181"/>
      <c r="F65" s="350" t="str">
        <f t="shared" ref="F65:G66" si="289">IF($E65="","",IF($E65="2추","직접입력","-"))</f>
        <v/>
      </c>
      <c r="G65" s="350" t="str">
        <f t="shared" si="289"/>
        <v/>
      </c>
      <c r="H65" s="181"/>
      <c r="I65" s="127" t="str">
        <f>IF(H65="","",VLOOKUP($H65,구분표!$K$3:$M$147,2,FALSE))</f>
        <v/>
      </c>
      <c r="J65" s="127" t="str">
        <f>IF(I65="","",VLOOKUP($H65,구분표!$K$3:$M$147,3,FALSE))</f>
        <v/>
      </c>
      <c r="K65" s="201"/>
      <c r="L65" s="201"/>
      <c r="M65" s="419" t="str">
        <f t="shared" ref="M65:M66" si="290">IF($E65="","",IF(OR($E65="2추", $E65="1추", $E65="본예산"), "금액입력", "-"))</f>
        <v/>
      </c>
      <c r="N65" s="419" t="str">
        <f t="shared" ref="N65:N66" si="291">IF($E65="", "", IF($E65="2추","금액입력", "-"))</f>
        <v/>
      </c>
      <c r="O65" s="421" t="str">
        <f t="shared" si="276"/>
        <v/>
      </c>
      <c r="P65" s="420"/>
      <c r="Q65" s="421">
        <f t="shared" si="277"/>
        <v>0</v>
      </c>
      <c r="R65" s="422"/>
      <c r="S65" s="423">
        <f t="shared" si="278"/>
        <v>0</v>
      </c>
      <c r="T65" s="133" t="str">
        <f t="shared" si="279"/>
        <v>X</v>
      </c>
      <c r="U65" s="198"/>
      <c r="V65" s="192"/>
      <c r="W65" s="185"/>
      <c r="X65" s="202"/>
      <c r="Y65" s="185"/>
      <c r="Z65" s="320" t="str">
        <f t="shared" si="280"/>
        <v/>
      </c>
      <c r="AA65" s="60"/>
      <c r="AB65" s="446" t="str">
        <f t="shared" si="281"/>
        <v/>
      </c>
      <c r="AC65" s="447">
        <f t="shared" si="282"/>
        <v>0</v>
      </c>
      <c r="AD65" s="320" t="str">
        <f t="shared" si="8"/>
        <v>OK</v>
      </c>
      <c r="AE65" s="7"/>
      <c r="AF65" s="462" t="str">
        <f t="shared" si="283"/>
        <v/>
      </c>
      <c r="AG65" s="463">
        <f t="shared" si="284"/>
        <v>0</v>
      </c>
      <c r="AH65" s="343" t="str">
        <f t="shared" si="9"/>
        <v>OK</v>
      </c>
      <c r="AI65" s="7"/>
      <c r="AJ65" s="189" t="str">
        <f t="shared" si="285"/>
        <v/>
      </c>
      <c r="AK65" s="320" t="str">
        <f t="shared" si="286"/>
        <v/>
      </c>
      <c r="AL65" s="320" t="str">
        <f t="shared" si="287"/>
        <v/>
      </c>
      <c r="AM65" s="320" t="str">
        <f t="shared" si="288"/>
        <v/>
      </c>
      <c r="AN65" s="320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26" t="str">
        <f>IF(D66="","",COUNTA($C$7:C66)-COUNTBLANK($C$7:C66)+15)</f>
        <v/>
      </c>
      <c r="B66" s="127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27" t="str">
        <f>IF(D66="","",IF(OR(D66="교육지원과",D66="총무과",D66="인사과"),"직접입력",VLOOKUP(D66,구분표!$A$3:$C$258,3,)))</f>
        <v/>
      </c>
      <c r="D66" s="194"/>
      <c r="E66" s="181"/>
      <c r="F66" s="350" t="str">
        <f t="shared" si="289"/>
        <v/>
      </c>
      <c r="G66" s="350" t="str">
        <f t="shared" si="289"/>
        <v/>
      </c>
      <c r="H66" s="181"/>
      <c r="I66" s="127" t="str">
        <f>IF(H66="","",VLOOKUP($H66,구분표!$K$3:$M$147,2,FALSE))</f>
        <v/>
      </c>
      <c r="J66" s="127" t="str">
        <f>IF(I66="","",VLOOKUP($H66,구분표!$K$3:$M$147,3,FALSE))</f>
        <v/>
      </c>
      <c r="K66" s="201"/>
      <c r="L66" s="201"/>
      <c r="M66" s="419" t="str">
        <f t="shared" si="290"/>
        <v/>
      </c>
      <c r="N66" s="419" t="str">
        <f t="shared" si="291"/>
        <v/>
      </c>
      <c r="O66" s="421" t="str">
        <f t="shared" si="276"/>
        <v/>
      </c>
      <c r="P66" s="420"/>
      <c r="Q66" s="421">
        <f t="shared" si="277"/>
        <v>0</v>
      </c>
      <c r="R66" s="422"/>
      <c r="S66" s="423">
        <f t="shared" si="278"/>
        <v>0</v>
      </c>
      <c r="T66" s="133" t="str">
        <f t="shared" si="279"/>
        <v>X</v>
      </c>
      <c r="U66" s="198"/>
      <c r="V66" s="192"/>
      <c r="W66" s="185"/>
      <c r="X66" s="202"/>
      <c r="Y66" s="185"/>
      <c r="Z66" s="320" t="str">
        <f t="shared" si="280"/>
        <v/>
      </c>
      <c r="AA66" s="60"/>
      <c r="AB66" s="446" t="str">
        <f t="shared" si="281"/>
        <v/>
      </c>
      <c r="AC66" s="447">
        <f t="shared" si="282"/>
        <v>0</v>
      </c>
      <c r="AD66" s="320" t="str">
        <f t="shared" si="8"/>
        <v>OK</v>
      </c>
      <c r="AE66" s="7"/>
      <c r="AF66" s="462" t="str">
        <f t="shared" si="283"/>
        <v/>
      </c>
      <c r="AG66" s="463">
        <f t="shared" si="284"/>
        <v>0</v>
      </c>
      <c r="AH66" s="343" t="str">
        <f t="shared" si="9"/>
        <v>OK</v>
      </c>
      <c r="AI66" s="7"/>
      <c r="AJ66" s="189" t="str">
        <f t="shared" si="285"/>
        <v/>
      </c>
      <c r="AK66" s="320" t="str">
        <f t="shared" si="286"/>
        <v/>
      </c>
      <c r="AL66" s="320" t="str">
        <f t="shared" si="287"/>
        <v/>
      </c>
      <c r="AM66" s="320" t="str">
        <f t="shared" si="288"/>
        <v/>
      </c>
      <c r="AN66" s="320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37"/>
      <c r="B67" s="962" t="s">
        <v>789</v>
      </c>
      <c r="C67" s="962"/>
      <c r="D67" s="962"/>
      <c r="E67" s="962"/>
      <c r="F67" s="962"/>
      <c r="G67" s="962"/>
      <c r="H67" s="962"/>
      <c r="I67" s="962"/>
      <c r="J67" s="962"/>
      <c r="K67" s="82"/>
      <c r="L67" s="326" t="str">
        <f>SUBTOTAL(3,L68:L70)&amp;"건"</f>
        <v>0건</v>
      </c>
      <c r="M67" s="437">
        <f t="shared" ref="M67:S67" si="292">SUBTOTAL(9,M68:M70)</f>
        <v>0</v>
      </c>
      <c r="N67" s="437">
        <f t="shared" si="292"/>
        <v>0</v>
      </c>
      <c r="O67" s="437">
        <f t="shared" si="292"/>
        <v>0</v>
      </c>
      <c r="P67" s="437">
        <f t="shared" si="292"/>
        <v>0</v>
      </c>
      <c r="Q67" s="437">
        <f t="shared" si="292"/>
        <v>0</v>
      </c>
      <c r="R67" s="437">
        <f t="shared" si="292"/>
        <v>0</v>
      </c>
      <c r="S67" s="437">
        <f t="shared" si="292"/>
        <v>0</v>
      </c>
      <c r="T67" s="81"/>
      <c r="U67" s="83"/>
      <c r="V67" s="83"/>
      <c r="W67" s="84"/>
      <c r="X67" s="55"/>
      <c r="Y67" s="85"/>
      <c r="Z67" s="81"/>
      <c r="AA67" s="43"/>
      <c r="AB67" s="437">
        <f t="shared" ref="AB67:AC67" si="293">SUBTOTAL(9,AB68:AB70)</f>
        <v>0</v>
      </c>
      <c r="AC67" s="437">
        <f t="shared" si="293"/>
        <v>0</v>
      </c>
      <c r="AD67" s="511" t="str">
        <f>IF(COUNTIF(AD68:AD70,"@@")&gt;0,"@@","OK")</f>
        <v>OK</v>
      </c>
      <c r="AE67" s="52"/>
      <c r="AF67" s="437">
        <f t="shared" ref="AF67:AG67" si="294">SUBTOTAL(9,AF68:AF70)</f>
        <v>0</v>
      </c>
      <c r="AG67" s="437">
        <f t="shared" si="294"/>
        <v>0</v>
      </c>
      <c r="AH67" s="511" t="str">
        <f>IF(COUNTIF(AH68:AH70,"@@")&gt;0,"@@","OK")</f>
        <v>OK</v>
      </c>
      <c r="AI67" s="43"/>
      <c r="AJ67" s="80"/>
      <c r="AK67" s="80"/>
      <c r="AL67" s="511" t="str">
        <f>IF(COUNTIF(AL68:AL70,"@@")&gt;0,"@@","OK")</f>
        <v>OK</v>
      </c>
      <c r="AM67" s="80"/>
      <c r="AN67" s="511" t="str">
        <f>IF(COUNTIF(AN68:AN70,"@@")&gt;0,"@@","OK")</f>
        <v>OK</v>
      </c>
    </row>
    <row r="68" spans="1:40" s="19" customFormat="1" ht="80.099999999999994" customHeight="1">
      <c r="A68" s="126" t="str">
        <f>IF(D68="","",COUNTA($C$7:C68)-COUNTBLANK($C$7:C68)+16)</f>
        <v/>
      </c>
      <c r="B68" s="127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27" t="str">
        <f>IF(D68="","",IF(OR(D68="교육지원과",D68="총무과",D68="인사과"),"직접입력",VLOOKUP(D68,구분표!$A$3:$C$258,3,)))</f>
        <v/>
      </c>
      <c r="D68" s="194"/>
      <c r="E68" s="181"/>
      <c r="F68" s="350" t="str">
        <f>IF($E68="","",IF($E68="2추","직접입력","-"))</f>
        <v/>
      </c>
      <c r="G68" s="350" t="str">
        <f>IF($E68="","",IF($E68="2추","직접입력","-"))</f>
        <v/>
      </c>
      <c r="H68" s="181"/>
      <c r="I68" s="127" t="str">
        <f>IF(H68="","",VLOOKUP($H68,구분표!$K$3:$M$147,2,FALSE))</f>
        <v/>
      </c>
      <c r="J68" s="127" t="str">
        <f>IF(I68="","",VLOOKUP($H68,구분표!$K$3:$M$147,3,FALSE))</f>
        <v/>
      </c>
      <c r="K68" s="201"/>
      <c r="L68" s="201"/>
      <c r="M68" s="419" t="str">
        <f>IF($E68="","",IF(OR($E68="2추", $E68="1추", $E68="본예산"), "금액입력", "-"))</f>
        <v/>
      </c>
      <c r="N68" s="419" t="str">
        <f>IF($E68="", "", IF($E68="2추","금액입력", "-"))</f>
        <v/>
      </c>
      <c r="O68" s="421" t="str">
        <f t="shared" ref="O68:O70" si="295">IF($E68="","",SUM(M68:N68))</f>
        <v/>
      </c>
      <c r="P68" s="420"/>
      <c r="Q68" s="421">
        <f t="shared" ref="Q68:Q70" si="296">SUM(O68:P68)</f>
        <v>0</v>
      </c>
      <c r="R68" s="422"/>
      <c r="S68" s="423">
        <f t="shared" ref="S68:S70" si="297">SUM(O68,R68)</f>
        <v>0</v>
      </c>
      <c r="T68" s="133" t="str">
        <f t="shared" ref="T68:T70" si="298">IF(AND((Q68=0),(S68&gt;0)),"O",IF(AND((P68&lt;0),(Q68-S68&lt;0)),"O","X"))</f>
        <v>X</v>
      </c>
      <c r="U68" s="198"/>
      <c r="V68" s="192"/>
      <c r="W68" s="185"/>
      <c r="X68" s="202"/>
      <c r="Y68" s="185"/>
      <c r="Z68" s="320" t="str">
        <f t="shared" ref="Z68:Z70" si="299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46" t="str">
        <f t="shared" ref="AB68:AB70" si="300">IF($Z68="","",IF($Z68="국도비","금액입력",0))</f>
        <v/>
      </c>
      <c r="AC68" s="447">
        <f t="shared" ref="AC68:AC70" si="301">IFERROR(P68-AB68,0)</f>
        <v>0</v>
      </c>
      <c r="AD68" s="320" t="str">
        <f t="shared" si="8"/>
        <v>OK</v>
      </c>
      <c r="AE68" s="7"/>
      <c r="AF68" s="462" t="str">
        <f t="shared" ref="AF68:AF70" si="302">IF($Z68="","",IF($Z68="국도비","금액입력",0))</f>
        <v/>
      </c>
      <c r="AG68" s="463">
        <f t="shared" ref="AG68:AG70" si="303">IFERROR(R68-AF68,0)</f>
        <v>0</v>
      </c>
      <c r="AH68" s="343" t="str">
        <f t="shared" si="9"/>
        <v>OK</v>
      </c>
      <c r="AI68" s="7"/>
      <c r="AJ68" s="189" t="str">
        <f t="shared" ref="AJ68:AJ70" si="304">IF($Z68="","",IF($Z68="도비","-","세입번호입력"))</f>
        <v/>
      </c>
      <c r="AK68" s="320" t="str">
        <f t="shared" ref="AK68:AK70" si="305">IF(OR(AJ68="",AJ68="-",AJ68="세입번호입력"),"", COUNTIF($AJ$7:$AJ$1013,AJ68))</f>
        <v/>
      </c>
      <c r="AL68" s="320" t="str">
        <f t="shared" ref="AL68:AL70" si="306">IF($AJ68="","",IF($Z68="도비", "OK",IF(AND($Z68="국도비",$AJ68="세입없음"),"OK", IF(AND($Z68="국도비",$AJ68="세입번호입력"),"@@","OK"))))</f>
        <v/>
      </c>
      <c r="AM68" s="320" t="str">
        <f t="shared" ref="AM68:AM70" si="307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20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26" t="str">
        <f>IF(D69="","",COUNTA($C$7:C69)-COUNTBLANK($C$7:C69)+16)</f>
        <v/>
      </c>
      <c r="B69" s="127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27" t="str">
        <f>IF(D69="","",IF(OR(D69="교육지원과",D69="총무과",D69="인사과"),"직접입력",VLOOKUP(D69,구분표!$A$3:$C$258,3,)))</f>
        <v/>
      </c>
      <c r="D69" s="194"/>
      <c r="E69" s="181"/>
      <c r="F69" s="350" t="str">
        <f t="shared" ref="F69:G70" si="308">IF($E69="","",IF($E69="2추","직접입력","-"))</f>
        <v/>
      </c>
      <c r="G69" s="350" t="str">
        <f t="shared" si="308"/>
        <v/>
      </c>
      <c r="H69" s="181"/>
      <c r="I69" s="127" t="str">
        <f>IF(H69="","",VLOOKUP($H69,구분표!$K$3:$M$147,2,FALSE))</f>
        <v/>
      </c>
      <c r="J69" s="127" t="str">
        <f>IF(I69="","",VLOOKUP($H69,구분표!$K$3:$M$147,3,FALSE))</f>
        <v/>
      </c>
      <c r="K69" s="201"/>
      <c r="L69" s="201"/>
      <c r="M69" s="419" t="str">
        <f t="shared" ref="M69:M70" si="309">IF($E69="","",IF(OR($E69="2추", $E69="1추", $E69="본예산"), "금액입력", "-"))</f>
        <v/>
      </c>
      <c r="N69" s="419" t="str">
        <f t="shared" ref="N69:N70" si="310">IF($E69="", "", IF($E69="2추","금액입력", "-"))</f>
        <v/>
      </c>
      <c r="O69" s="421" t="str">
        <f t="shared" si="295"/>
        <v/>
      </c>
      <c r="P69" s="420"/>
      <c r="Q69" s="421">
        <f t="shared" si="296"/>
        <v>0</v>
      </c>
      <c r="R69" s="422"/>
      <c r="S69" s="423">
        <f t="shared" si="297"/>
        <v>0</v>
      </c>
      <c r="T69" s="133" t="str">
        <f t="shared" si="298"/>
        <v>X</v>
      </c>
      <c r="U69" s="198"/>
      <c r="V69" s="192"/>
      <c r="W69" s="185"/>
      <c r="X69" s="202"/>
      <c r="Y69" s="185"/>
      <c r="Z69" s="320" t="str">
        <f t="shared" si="299"/>
        <v/>
      </c>
      <c r="AA69" s="60"/>
      <c r="AB69" s="446" t="str">
        <f t="shared" si="300"/>
        <v/>
      </c>
      <c r="AC69" s="447">
        <f t="shared" si="301"/>
        <v>0</v>
      </c>
      <c r="AD69" s="320" t="str">
        <f t="shared" si="8"/>
        <v>OK</v>
      </c>
      <c r="AE69" s="7"/>
      <c r="AF69" s="462" t="str">
        <f t="shared" si="302"/>
        <v/>
      </c>
      <c r="AG69" s="463">
        <f t="shared" si="303"/>
        <v>0</v>
      </c>
      <c r="AH69" s="343" t="str">
        <f t="shared" si="9"/>
        <v>OK</v>
      </c>
      <c r="AI69" s="7"/>
      <c r="AJ69" s="189" t="str">
        <f t="shared" si="304"/>
        <v/>
      </c>
      <c r="AK69" s="320" t="str">
        <f t="shared" si="305"/>
        <v/>
      </c>
      <c r="AL69" s="320" t="str">
        <f t="shared" si="306"/>
        <v/>
      </c>
      <c r="AM69" s="320" t="str">
        <f t="shared" si="307"/>
        <v/>
      </c>
      <c r="AN69" s="320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26" t="str">
        <f>IF(D70="","",COUNTA($C$7:C70)-COUNTBLANK($C$7:C70)+16)</f>
        <v/>
      </c>
      <c r="B70" s="127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27" t="str">
        <f>IF(D70="","",IF(OR(D70="교육지원과",D70="총무과",D70="인사과"),"직접입력",VLOOKUP(D70,구분표!$A$3:$C$258,3,)))</f>
        <v/>
      </c>
      <c r="D70" s="194"/>
      <c r="E70" s="181"/>
      <c r="F70" s="350" t="str">
        <f t="shared" si="308"/>
        <v/>
      </c>
      <c r="G70" s="350" t="str">
        <f t="shared" si="308"/>
        <v/>
      </c>
      <c r="H70" s="181"/>
      <c r="I70" s="127" t="str">
        <f>IF(H70="","",VLOOKUP($H70,구분표!$K$3:$M$147,2,FALSE))</f>
        <v/>
      </c>
      <c r="J70" s="127" t="str">
        <f>IF(I70="","",VLOOKUP($H70,구분표!$K$3:$M$147,3,FALSE))</f>
        <v/>
      </c>
      <c r="K70" s="201"/>
      <c r="L70" s="201"/>
      <c r="M70" s="419" t="str">
        <f t="shared" si="309"/>
        <v/>
      </c>
      <c r="N70" s="419" t="str">
        <f t="shared" si="310"/>
        <v/>
      </c>
      <c r="O70" s="421" t="str">
        <f t="shared" si="295"/>
        <v/>
      </c>
      <c r="P70" s="420"/>
      <c r="Q70" s="421">
        <f t="shared" si="296"/>
        <v>0</v>
      </c>
      <c r="R70" s="422"/>
      <c r="S70" s="423">
        <f t="shared" si="297"/>
        <v>0</v>
      </c>
      <c r="T70" s="133" t="str">
        <f t="shared" si="298"/>
        <v>X</v>
      </c>
      <c r="U70" s="198"/>
      <c r="V70" s="192"/>
      <c r="W70" s="185"/>
      <c r="X70" s="202"/>
      <c r="Y70" s="185"/>
      <c r="Z70" s="320" t="str">
        <f t="shared" si="299"/>
        <v/>
      </c>
      <c r="AA70" s="60"/>
      <c r="AB70" s="446" t="str">
        <f t="shared" si="300"/>
        <v/>
      </c>
      <c r="AC70" s="447">
        <f t="shared" si="301"/>
        <v>0</v>
      </c>
      <c r="AD70" s="320" t="str">
        <f t="shared" si="8"/>
        <v>OK</v>
      </c>
      <c r="AE70" s="7"/>
      <c r="AF70" s="462" t="str">
        <f t="shared" si="302"/>
        <v/>
      </c>
      <c r="AG70" s="463">
        <f t="shared" si="303"/>
        <v>0</v>
      </c>
      <c r="AH70" s="343" t="str">
        <f t="shared" si="9"/>
        <v>OK</v>
      </c>
      <c r="AI70" s="7"/>
      <c r="AJ70" s="189" t="str">
        <f t="shared" si="304"/>
        <v/>
      </c>
      <c r="AK70" s="320" t="str">
        <f t="shared" si="305"/>
        <v/>
      </c>
      <c r="AL70" s="320" t="str">
        <f t="shared" si="306"/>
        <v/>
      </c>
      <c r="AM70" s="320" t="str">
        <f t="shared" si="307"/>
        <v/>
      </c>
      <c r="AN70" s="320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37"/>
      <c r="B71" s="962" t="s">
        <v>790</v>
      </c>
      <c r="C71" s="962"/>
      <c r="D71" s="962"/>
      <c r="E71" s="962"/>
      <c r="F71" s="962"/>
      <c r="G71" s="962"/>
      <c r="H71" s="962"/>
      <c r="I71" s="962"/>
      <c r="J71" s="962"/>
      <c r="K71" s="82"/>
      <c r="L71" s="326" t="str">
        <f>SUBTOTAL(3,L72:L74)&amp;"건"</f>
        <v>0건</v>
      </c>
      <c r="M71" s="437">
        <f t="shared" ref="M71:S71" si="311">SUBTOTAL(9,M72:M74)</f>
        <v>0</v>
      </c>
      <c r="N71" s="437">
        <f t="shared" si="311"/>
        <v>0</v>
      </c>
      <c r="O71" s="437">
        <f t="shared" si="311"/>
        <v>0</v>
      </c>
      <c r="P71" s="437">
        <f t="shared" si="311"/>
        <v>0</v>
      </c>
      <c r="Q71" s="437">
        <f t="shared" si="311"/>
        <v>0</v>
      </c>
      <c r="R71" s="437">
        <f t="shared" si="311"/>
        <v>0</v>
      </c>
      <c r="S71" s="437">
        <f t="shared" si="311"/>
        <v>0</v>
      </c>
      <c r="T71" s="81"/>
      <c r="U71" s="83"/>
      <c r="V71" s="83"/>
      <c r="W71" s="84"/>
      <c r="X71" s="55"/>
      <c r="Y71" s="85"/>
      <c r="Z71" s="81"/>
      <c r="AA71" s="43"/>
      <c r="AB71" s="437">
        <f t="shared" ref="AB71:AC71" si="312">SUBTOTAL(9,AB72:AB74)</f>
        <v>0</v>
      </c>
      <c r="AC71" s="437">
        <f t="shared" si="312"/>
        <v>0</v>
      </c>
      <c r="AD71" s="511" t="str">
        <f>IF(COUNTIF(AD72:AD74,"@@")&gt;0,"@@","OK")</f>
        <v>OK</v>
      </c>
      <c r="AE71" s="52"/>
      <c r="AF71" s="437">
        <f t="shared" ref="AF71:AG71" si="313">SUBTOTAL(9,AF72:AF74)</f>
        <v>0</v>
      </c>
      <c r="AG71" s="437">
        <f t="shared" si="313"/>
        <v>0</v>
      </c>
      <c r="AH71" s="511" t="str">
        <f>IF(COUNTIF(AH72:AH74,"@@")&gt;0,"@@","OK")</f>
        <v>OK</v>
      </c>
      <c r="AI71" s="43"/>
      <c r="AJ71" s="80"/>
      <c r="AK71" s="80"/>
      <c r="AL71" s="511" t="str">
        <f>IF(COUNTIF(AL72:AL74,"@@")&gt;0,"@@","OK")</f>
        <v>OK</v>
      </c>
      <c r="AM71" s="80"/>
      <c r="AN71" s="511" t="str">
        <f>IF(COUNTIF(AN72:AN74,"@@")&gt;0,"@@","OK")</f>
        <v>OK</v>
      </c>
    </row>
    <row r="72" spans="1:40" s="19" customFormat="1" ht="80.099999999999994" customHeight="1">
      <c r="A72" s="126" t="str">
        <f>IF(D72="","",COUNTA($C$7:C72)-COUNTBLANK($C$7:C72)+17)</f>
        <v/>
      </c>
      <c r="B72" s="127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27" t="str">
        <f>IF(D72="","",IF(OR(D72="교육지원과",D72="총무과",D72="인사과"),"직접입력",VLOOKUP(D72,구분표!$A$3:$C$258,3,)))</f>
        <v/>
      </c>
      <c r="D72" s="194"/>
      <c r="E72" s="181"/>
      <c r="F72" s="350" t="str">
        <f>IF($E72="","",IF($E72="2추","직접입력","-"))</f>
        <v/>
      </c>
      <c r="G72" s="350" t="str">
        <f>IF($E72="","",IF($E72="2추","직접입력","-"))</f>
        <v/>
      </c>
      <c r="H72" s="181"/>
      <c r="I72" s="127" t="str">
        <f>IF(H72="","",VLOOKUP($H72,구분표!$K$3:$M$147,2,FALSE))</f>
        <v/>
      </c>
      <c r="J72" s="127" t="str">
        <f>IF(I72="","",VLOOKUP($H72,구분표!$K$3:$M$147,3,FALSE))</f>
        <v/>
      </c>
      <c r="K72" s="201"/>
      <c r="L72" s="201"/>
      <c r="M72" s="419" t="str">
        <f>IF($E72="","",IF(OR($E72="2추", $E72="1추", $E72="본예산"), "금액입력", "-"))</f>
        <v/>
      </c>
      <c r="N72" s="419" t="str">
        <f>IF($E72="", "", IF($E72="2추","금액입력", "-"))</f>
        <v/>
      </c>
      <c r="O72" s="421" t="str">
        <f t="shared" ref="O72:O74" si="314">IF($E72="","",SUM(M72:N72))</f>
        <v/>
      </c>
      <c r="P72" s="420"/>
      <c r="Q72" s="421">
        <f t="shared" ref="Q72:Q74" si="315">SUM(O72:P72)</f>
        <v>0</v>
      </c>
      <c r="R72" s="422"/>
      <c r="S72" s="423">
        <f t="shared" ref="S72:S74" si="316">SUM(O72,R72)</f>
        <v>0</v>
      </c>
      <c r="T72" s="133" t="str">
        <f t="shared" ref="T72:T74" si="317">IF(AND((Q72=0),(S72&gt;0)),"O",IF(AND((P72&lt;0),(Q72-S72&lt;0)),"O","X"))</f>
        <v>X</v>
      </c>
      <c r="U72" s="198"/>
      <c r="V72" s="192"/>
      <c r="W72" s="185"/>
      <c r="X72" s="202"/>
      <c r="Y72" s="185"/>
      <c r="Z72" s="320" t="str">
        <f t="shared" ref="Z72:Z74" si="318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46" t="str">
        <f t="shared" ref="AB72:AB74" si="319">IF($Z72="","",IF($Z72="국도비","금액입력",0))</f>
        <v/>
      </c>
      <c r="AC72" s="447">
        <f t="shared" ref="AC72:AC74" si="320">IFERROR(P72-AB72,0)</f>
        <v>0</v>
      </c>
      <c r="AD72" s="320" t="str">
        <f t="shared" si="8"/>
        <v>OK</v>
      </c>
      <c r="AE72" s="7"/>
      <c r="AF72" s="462" t="str">
        <f t="shared" ref="AF72:AF74" si="321">IF($Z72="","",IF($Z72="국도비","금액입력",0))</f>
        <v/>
      </c>
      <c r="AG72" s="463">
        <f t="shared" ref="AG72:AG74" si="322">IFERROR(R72-AF72,0)</f>
        <v>0</v>
      </c>
      <c r="AH72" s="343" t="str">
        <f t="shared" si="9"/>
        <v>OK</v>
      </c>
      <c r="AI72" s="7"/>
      <c r="AJ72" s="189" t="str">
        <f t="shared" ref="AJ72:AJ74" si="323">IF($Z72="","",IF($Z72="도비","-","세입번호입력"))</f>
        <v/>
      </c>
      <c r="AK72" s="320" t="str">
        <f t="shared" ref="AK72:AK74" si="324">IF(OR(AJ72="",AJ72="-",AJ72="세입번호입력"),"", COUNTIF($AJ$7:$AJ$1013,AJ72))</f>
        <v/>
      </c>
      <c r="AL72" s="320" t="str">
        <f t="shared" ref="AL72:AL74" si="325">IF($AJ72="","",IF($Z72="도비", "OK",IF(AND($Z72="국도비",$AJ72="세입없음"),"OK", IF(AND($Z72="국도비",$AJ72="세입번호입력"),"@@","OK"))))</f>
        <v/>
      </c>
      <c r="AM72" s="320" t="str">
        <f t="shared" ref="AM72:AM74" si="326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20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26" t="str">
        <f>IF(D73="","",COUNTA($C$7:C73)-COUNTBLANK($C$7:C73)+17)</f>
        <v/>
      </c>
      <c r="B73" s="127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27" t="str">
        <f>IF(D73="","",IF(OR(D73="교육지원과",D73="총무과",D73="인사과"),"직접입력",VLOOKUP(D73,구분표!$A$3:$C$258,3,)))</f>
        <v/>
      </c>
      <c r="D73" s="194"/>
      <c r="E73" s="181"/>
      <c r="F73" s="350" t="str">
        <f t="shared" ref="F73:G74" si="327">IF($E73="","",IF($E73="2추","직접입력","-"))</f>
        <v/>
      </c>
      <c r="G73" s="350" t="str">
        <f t="shared" si="327"/>
        <v/>
      </c>
      <c r="H73" s="181"/>
      <c r="I73" s="127" t="str">
        <f>IF(H73="","",VLOOKUP($H73,구분표!$K$3:$M$147,2,FALSE))</f>
        <v/>
      </c>
      <c r="J73" s="127" t="str">
        <f>IF(I73="","",VLOOKUP($H73,구분표!$K$3:$M$147,3,FALSE))</f>
        <v/>
      </c>
      <c r="K73" s="201"/>
      <c r="L73" s="201"/>
      <c r="M73" s="419" t="str">
        <f t="shared" ref="M73:M74" si="328">IF($E73="","",IF(OR($E73="2추", $E73="1추", $E73="본예산"), "금액입력", "-"))</f>
        <v/>
      </c>
      <c r="N73" s="419" t="str">
        <f t="shared" ref="N73:N74" si="329">IF($E73="", "", IF($E73="2추","금액입력", "-"))</f>
        <v/>
      </c>
      <c r="O73" s="421" t="str">
        <f t="shared" si="314"/>
        <v/>
      </c>
      <c r="P73" s="420"/>
      <c r="Q73" s="421">
        <f t="shared" si="315"/>
        <v>0</v>
      </c>
      <c r="R73" s="422"/>
      <c r="S73" s="423">
        <f t="shared" si="316"/>
        <v>0</v>
      </c>
      <c r="T73" s="133" t="str">
        <f t="shared" si="317"/>
        <v>X</v>
      </c>
      <c r="U73" s="198"/>
      <c r="V73" s="192"/>
      <c r="W73" s="185"/>
      <c r="X73" s="202"/>
      <c r="Y73" s="185"/>
      <c r="Z73" s="320" t="str">
        <f t="shared" si="318"/>
        <v/>
      </c>
      <c r="AA73" s="60"/>
      <c r="AB73" s="446" t="str">
        <f t="shared" si="319"/>
        <v/>
      </c>
      <c r="AC73" s="447">
        <f t="shared" si="320"/>
        <v>0</v>
      </c>
      <c r="AD73" s="320" t="str">
        <f t="shared" ref="AD73:AD74" si="330">IF($P73=SUM($AB73:$AC73),"OK","@@")</f>
        <v>OK</v>
      </c>
      <c r="AE73" s="7"/>
      <c r="AF73" s="462" t="str">
        <f t="shared" si="321"/>
        <v/>
      </c>
      <c r="AG73" s="463">
        <f t="shared" si="322"/>
        <v>0</v>
      </c>
      <c r="AH73" s="343" t="str">
        <f t="shared" ref="AH73:AH74" si="331">IF($R73=SUM($AF73:$AG73),"OK","@@")</f>
        <v>OK</v>
      </c>
      <c r="AI73" s="7"/>
      <c r="AJ73" s="189" t="str">
        <f t="shared" si="323"/>
        <v/>
      </c>
      <c r="AK73" s="320" t="str">
        <f t="shared" si="324"/>
        <v/>
      </c>
      <c r="AL73" s="320" t="str">
        <f t="shared" si="325"/>
        <v/>
      </c>
      <c r="AM73" s="320" t="str">
        <f t="shared" si="326"/>
        <v/>
      </c>
      <c r="AN73" s="320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26" t="str">
        <f>IF(D74="","",COUNTA($C$7:C74)-COUNTBLANK($C$7:C74)+17)</f>
        <v/>
      </c>
      <c r="B74" s="127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27" t="str">
        <f>IF(D74="","",IF(OR(D74="교육지원과",D74="총무과",D74="인사과"),"직접입력",VLOOKUP(D74,구분표!$A$3:$C$258,3,)))</f>
        <v/>
      </c>
      <c r="D74" s="194"/>
      <c r="E74" s="181"/>
      <c r="F74" s="350" t="str">
        <f t="shared" si="327"/>
        <v/>
      </c>
      <c r="G74" s="350" t="str">
        <f t="shared" si="327"/>
        <v/>
      </c>
      <c r="H74" s="181"/>
      <c r="I74" s="127" t="str">
        <f>IF(H74="","",VLOOKUP($H74,구분표!$K$3:$M$147,2,FALSE))</f>
        <v/>
      </c>
      <c r="J74" s="127" t="str">
        <f>IF(I74="","",VLOOKUP($H74,구분표!$K$3:$M$147,3,FALSE))</f>
        <v/>
      </c>
      <c r="K74" s="201"/>
      <c r="L74" s="201"/>
      <c r="M74" s="419" t="str">
        <f t="shared" si="328"/>
        <v/>
      </c>
      <c r="N74" s="419" t="str">
        <f t="shared" si="329"/>
        <v/>
      </c>
      <c r="O74" s="421" t="str">
        <f t="shared" si="314"/>
        <v/>
      </c>
      <c r="P74" s="420"/>
      <c r="Q74" s="421">
        <f t="shared" si="315"/>
        <v>0</v>
      </c>
      <c r="R74" s="422"/>
      <c r="S74" s="423">
        <f t="shared" si="316"/>
        <v>0</v>
      </c>
      <c r="T74" s="133" t="str">
        <f t="shared" si="317"/>
        <v>X</v>
      </c>
      <c r="U74" s="198"/>
      <c r="V74" s="192"/>
      <c r="W74" s="185"/>
      <c r="X74" s="202"/>
      <c r="Y74" s="185"/>
      <c r="Z74" s="320" t="str">
        <f t="shared" si="318"/>
        <v/>
      </c>
      <c r="AA74" s="60"/>
      <c r="AB74" s="446" t="str">
        <f t="shared" si="319"/>
        <v/>
      </c>
      <c r="AC74" s="447">
        <f t="shared" si="320"/>
        <v>0</v>
      </c>
      <c r="AD74" s="320" t="str">
        <f t="shared" si="330"/>
        <v>OK</v>
      </c>
      <c r="AE74" s="7"/>
      <c r="AF74" s="462" t="str">
        <f t="shared" si="321"/>
        <v/>
      </c>
      <c r="AG74" s="463">
        <f t="shared" si="322"/>
        <v>0</v>
      </c>
      <c r="AH74" s="343" t="str">
        <f t="shared" si="331"/>
        <v>OK</v>
      </c>
      <c r="AI74" s="7"/>
      <c r="AJ74" s="189" t="str">
        <f t="shared" si="323"/>
        <v/>
      </c>
      <c r="AK74" s="320" t="str">
        <f t="shared" si="324"/>
        <v/>
      </c>
      <c r="AL74" s="320" t="str">
        <f t="shared" si="325"/>
        <v/>
      </c>
      <c r="AM74" s="320" t="str">
        <f t="shared" si="326"/>
        <v/>
      </c>
      <c r="AN74" s="320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37"/>
      <c r="B75" s="962" t="s">
        <v>791</v>
      </c>
      <c r="C75" s="962"/>
      <c r="D75" s="962"/>
      <c r="E75" s="962"/>
      <c r="F75" s="962"/>
      <c r="G75" s="962"/>
      <c r="H75" s="962"/>
      <c r="I75" s="962"/>
      <c r="J75" s="962"/>
      <c r="K75" s="82"/>
      <c r="L75" s="326" t="str">
        <f>SUBTOTAL(3,L76:L78)&amp;"건"</f>
        <v>0건</v>
      </c>
      <c r="M75" s="437">
        <f>SUBTOTAL(9,M76:M78)</f>
        <v>0</v>
      </c>
      <c r="N75" s="437">
        <f t="shared" ref="N75:S75" si="332">SUBTOTAL(9,N76:N78)</f>
        <v>0</v>
      </c>
      <c r="O75" s="437">
        <f t="shared" si="332"/>
        <v>0</v>
      </c>
      <c r="P75" s="437">
        <f t="shared" si="332"/>
        <v>0</v>
      </c>
      <c r="Q75" s="437">
        <f t="shared" si="332"/>
        <v>0</v>
      </c>
      <c r="R75" s="437">
        <f t="shared" si="332"/>
        <v>0</v>
      </c>
      <c r="S75" s="437">
        <f t="shared" si="332"/>
        <v>0</v>
      </c>
      <c r="T75" s="81"/>
      <c r="U75" s="83"/>
      <c r="V75" s="83"/>
      <c r="W75" s="84"/>
      <c r="X75" s="55"/>
      <c r="Y75" s="85"/>
      <c r="Z75" s="81"/>
      <c r="AA75" s="43"/>
      <c r="AB75" s="437">
        <f t="shared" ref="AB75:AC75" si="333">SUBTOTAL(9,AB76:AB78)</f>
        <v>0</v>
      </c>
      <c r="AC75" s="437">
        <f t="shared" si="333"/>
        <v>0</v>
      </c>
      <c r="AD75" s="511" t="str">
        <f>IF(COUNTIF(AD76:AD78,"@@")&gt;0,"@@","OK")</f>
        <v>OK</v>
      </c>
      <c r="AE75" s="52"/>
      <c r="AF75" s="437">
        <f t="shared" ref="AF75:AG75" si="334">SUBTOTAL(9,AF76:AF78)</f>
        <v>0</v>
      </c>
      <c r="AG75" s="437">
        <f t="shared" si="334"/>
        <v>0</v>
      </c>
      <c r="AH75" s="511" t="str">
        <f>IF(COUNTIF(AH76:AH78,"@@")&gt;0,"@@","OK")</f>
        <v>OK</v>
      </c>
      <c r="AI75" s="43"/>
      <c r="AJ75" s="80"/>
      <c r="AK75" s="80"/>
      <c r="AL75" s="511" t="str">
        <f>IF(COUNTIF(AL76:AL78,"@@")&gt;0,"@@","OK")</f>
        <v>OK</v>
      </c>
      <c r="AM75" s="80"/>
      <c r="AN75" s="511" t="str">
        <f>IF(COUNTIF(AN76:AN78,"@@")&gt;0,"@@","OK")</f>
        <v>OK</v>
      </c>
    </row>
    <row r="76" spans="1:40" s="19" customFormat="1" ht="80.099999999999994" customHeight="1">
      <c r="A76" s="126" t="str">
        <f>IF(D76="","",COUNTA($C$7:C76)-COUNTBLANK($C$7:C76)+18)</f>
        <v/>
      </c>
      <c r="B76" s="127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27" t="str">
        <f>IF(D76="","",IF(OR(D76="교육지원과",D76="총무과",D76="인사과"),"직접입력",VLOOKUP(D76,구분표!$A$3:$C$258,3,)))</f>
        <v/>
      </c>
      <c r="D76" s="194"/>
      <c r="E76" s="181"/>
      <c r="F76" s="350" t="str">
        <f>IF($E76="","",IF($E76="2추","직접입력","-"))</f>
        <v/>
      </c>
      <c r="G76" s="350" t="str">
        <f>IF($E76="","",IF($E76="2추","직접입력","-"))</f>
        <v/>
      </c>
      <c r="H76" s="181"/>
      <c r="I76" s="127" t="str">
        <f>IF(H76="","",VLOOKUP($H76,구분표!$K$3:$M$147,2,FALSE))</f>
        <v/>
      </c>
      <c r="J76" s="127" t="str">
        <f>IF(I76="","",VLOOKUP($H76,구분표!$K$3:$M$147,3,FALSE))</f>
        <v/>
      </c>
      <c r="K76" s="201"/>
      <c r="L76" s="201"/>
      <c r="M76" s="419" t="str">
        <f>IF($E76="","",IF(OR($E76="2추", $E76="1추", $E76="본예산"), "금액입력", "-"))</f>
        <v/>
      </c>
      <c r="N76" s="419" t="str">
        <f>IF($E76="", "", IF($E76="2추","금액입력", "-"))</f>
        <v/>
      </c>
      <c r="O76" s="421" t="str">
        <f t="shared" ref="O76:O78" si="335">IF($E76="","",SUM(M76:N76))</f>
        <v/>
      </c>
      <c r="P76" s="420"/>
      <c r="Q76" s="421">
        <f t="shared" ref="Q76:Q78" si="336">SUM(O76:P76)</f>
        <v>0</v>
      </c>
      <c r="R76" s="422"/>
      <c r="S76" s="423">
        <f t="shared" ref="S76:S78" si="337">SUM(O76,R76)</f>
        <v>0</v>
      </c>
      <c r="T76" s="133" t="str">
        <f t="shared" ref="T76:T78" si="338">IF(AND((Q76=0),(S76&gt;0)),"O",IF(AND((P76&lt;0),(Q76-S76&lt;0)),"O","X"))</f>
        <v>X</v>
      </c>
      <c r="U76" s="198"/>
      <c r="V76" s="192"/>
      <c r="W76" s="185"/>
      <c r="X76" s="202"/>
      <c r="Y76" s="185"/>
      <c r="Z76" s="320" t="str">
        <f t="shared" ref="Z76:Z78" si="339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46" t="str">
        <f t="shared" ref="AB76:AB78" si="340">IF($Z76="","",IF($Z76="국도비","금액입력",0))</f>
        <v/>
      </c>
      <c r="AC76" s="447">
        <f t="shared" ref="AC76:AC78" si="341">IFERROR(P76-AB76,0)</f>
        <v>0</v>
      </c>
      <c r="AD76" s="320" t="str">
        <f t="shared" ref="AD76:AD78" si="342">IF($P76=SUM($AB76:$AC76),"OK","@@")</f>
        <v>OK</v>
      </c>
      <c r="AE76" s="7"/>
      <c r="AF76" s="462" t="str">
        <f t="shared" ref="AF76:AF78" si="343">IF($Z76="","",IF($Z76="국도비","금액입력",0))</f>
        <v/>
      </c>
      <c r="AG76" s="463">
        <f t="shared" ref="AG76:AG78" si="344">IFERROR(R76-AF76,0)</f>
        <v>0</v>
      </c>
      <c r="AH76" s="343" t="str">
        <f t="shared" ref="AH76:AH78" si="345">IF($R76=SUM($AF76:$AG76),"OK","@@")</f>
        <v>OK</v>
      </c>
      <c r="AI76" s="7"/>
      <c r="AJ76" s="189" t="str">
        <f t="shared" ref="AJ76:AJ78" si="346">IF($Z76="","",IF($Z76="도비","-","세입번호입력"))</f>
        <v/>
      </c>
      <c r="AK76" s="320" t="str">
        <f t="shared" ref="AK76:AK78" si="347">IF(OR(AJ76="",AJ76="-",AJ76="세입번호입력"),"", COUNTIF($AJ$7:$AJ$1013,AJ76))</f>
        <v/>
      </c>
      <c r="AL76" s="320" t="str">
        <f t="shared" ref="AL76:AL78" si="348">IF($AJ76="","",IF($Z76="도비", "OK",IF(AND($Z76="국도비",$AJ76="세입없음"),"OK", IF(AND($Z76="국도비",$AJ76="세입번호입력"),"@@","OK"))))</f>
        <v/>
      </c>
      <c r="AM76" s="320" t="str">
        <f t="shared" ref="AM76:AM78" si="349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20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26" t="str">
        <f>IF(D77="","",COUNTA($C$7:C77)-COUNTBLANK($C$7:C77)+18)</f>
        <v/>
      </c>
      <c r="B77" s="127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27" t="str">
        <f>IF(D77="","",IF(OR(D77="교육지원과",D77="총무과",D77="인사과"),"직접입력",VLOOKUP(D77,구분표!$A$3:$C$258,3,)))</f>
        <v/>
      </c>
      <c r="D77" s="194"/>
      <c r="E77" s="181"/>
      <c r="F77" s="350" t="str">
        <f t="shared" ref="F77:G78" si="350">IF($E77="","",IF($E77="2추","직접입력","-"))</f>
        <v/>
      </c>
      <c r="G77" s="350" t="str">
        <f t="shared" si="350"/>
        <v/>
      </c>
      <c r="H77" s="181"/>
      <c r="I77" s="127" t="str">
        <f>IF(H77="","",VLOOKUP($H77,구분표!$K$3:$M$147,2,FALSE))</f>
        <v/>
      </c>
      <c r="J77" s="127" t="str">
        <f>IF(I77="","",VLOOKUP($H77,구분표!$K$3:$M$147,3,FALSE))</f>
        <v/>
      </c>
      <c r="K77" s="201"/>
      <c r="L77" s="201"/>
      <c r="M77" s="419" t="str">
        <f t="shared" ref="M77:M78" si="351">IF($E77="","",IF(OR($E77="2추", $E77="1추", $E77="본예산"), "금액입력", "-"))</f>
        <v/>
      </c>
      <c r="N77" s="419" t="str">
        <f t="shared" ref="N77:N78" si="352">IF($E77="", "", IF($E77="2추","금액입력", "-"))</f>
        <v/>
      </c>
      <c r="O77" s="421" t="str">
        <f t="shared" si="335"/>
        <v/>
      </c>
      <c r="P77" s="420"/>
      <c r="Q77" s="421">
        <f t="shared" si="336"/>
        <v>0</v>
      </c>
      <c r="R77" s="422"/>
      <c r="S77" s="423">
        <f t="shared" si="337"/>
        <v>0</v>
      </c>
      <c r="T77" s="133" t="str">
        <f t="shared" si="338"/>
        <v>X</v>
      </c>
      <c r="U77" s="198"/>
      <c r="V77" s="192"/>
      <c r="W77" s="185"/>
      <c r="X77" s="202"/>
      <c r="Y77" s="185"/>
      <c r="Z77" s="320" t="str">
        <f t="shared" si="339"/>
        <v/>
      </c>
      <c r="AA77" s="60"/>
      <c r="AB77" s="446" t="str">
        <f t="shared" si="340"/>
        <v/>
      </c>
      <c r="AC77" s="447">
        <f t="shared" si="341"/>
        <v>0</v>
      </c>
      <c r="AD77" s="320" t="str">
        <f t="shared" si="342"/>
        <v>OK</v>
      </c>
      <c r="AE77" s="7"/>
      <c r="AF77" s="462" t="str">
        <f t="shared" si="343"/>
        <v/>
      </c>
      <c r="AG77" s="463">
        <f t="shared" si="344"/>
        <v>0</v>
      </c>
      <c r="AH77" s="343" t="str">
        <f t="shared" si="345"/>
        <v>OK</v>
      </c>
      <c r="AI77" s="7"/>
      <c r="AJ77" s="189" t="str">
        <f t="shared" si="346"/>
        <v/>
      </c>
      <c r="AK77" s="320" t="str">
        <f t="shared" si="347"/>
        <v/>
      </c>
      <c r="AL77" s="320" t="str">
        <f t="shared" si="348"/>
        <v/>
      </c>
      <c r="AM77" s="320" t="str">
        <f t="shared" si="349"/>
        <v/>
      </c>
      <c r="AN77" s="320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26" t="str">
        <f>IF(D78="","",COUNTA($C$7:C78)-COUNTBLANK($C$7:C78)+18)</f>
        <v/>
      </c>
      <c r="B78" s="127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27" t="str">
        <f>IF(D78="","",IF(OR(D78="교육지원과",D78="총무과",D78="인사과"),"직접입력",VLOOKUP(D78,구분표!$A$3:$C$258,3,)))</f>
        <v/>
      </c>
      <c r="D78" s="194"/>
      <c r="E78" s="181"/>
      <c r="F78" s="350" t="str">
        <f t="shared" si="350"/>
        <v/>
      </c>
      <c r="G78" s="350" t="str">
        <f t="shared" si="350"/>
        <v/>
      </c>
      <c r="H78" s="181"/>
      <c r="I78" s="127" t="str">
        <f>IF(H78="","",VLOOKUP($H78,구분표!$K$3:$M$147,2,FALSE))</f>
        <v/>
      </c>
      <c r="J78" s="127" t="str">
        <f>IF(I78="","",VLOOKUP($H78,구분표!$K$3:$M$147,3,FALSE))</f>
        <v/>
      </c>
      <c r="K78" s="201"/>
      <c r="L78" s="201"/>
      <c r="M78" s="419" t="str">
        <f t="shared" si="351"/>
        <v/>
      </c>
      <c r="N78" s="419" t="str">
        <f t="shared" si="352"/>
        <v/>
      </c>
      <c r="O78" s="421" t="str">
        <f t="shared" si="335"/>
        <v/>
      </c>
      <c r="P78" s="420"/>
      <c r="Q78" s="421">
        <f t="shared" si="336"/>
        <v>0</v>
      </c>
      <c r="R78" s="422"/>
      <c r="S78" s="423">
        <f t="shared" si="337"/>
        <v>0</v>
      </c>
      <c r="T78" s="133" t="str">
        <f t="shared" si="338"/>
        <v>X</v>
      </c>
      <c r="U78" s="198"/>
      <c r="V78" s="192"/>
      <c r="W78" s="185"/>
      <c r="X78" s="202"/>
      <c r="Y78" s="185"/>
      <c r="Z78" s="320" t="str">
        <f t="shared" si="339"/>
        <v/>
      </c>
      <c r="AA78" s="60"/>
      <c r="AB78" s="446" t="str">
        <f t="shared" si="340"/>
        <v/>
      </c>
      <c r="AC78" s="447">
        <f t="shared" si="341"/>
        <v>0</v>
      </c>
      <c r="AD78" s="320" t="str">
        <f t="shared" si="342"/>
        <v>OK</v>
      </c>
      <c r="AE78" s="7"/>
      <c r="AF78" s="462" t="str">
        <f t="shared" si="343"/>
        <v/>
      </c>
      <c r="AG78" s="463">
        <f t="shared" si="344"/>
        <v>0</v>
      </c>
      <c r="AH78" s="343" t="str">
        <f t="shared" si="345"/>
        <v>OK</v>
      </c>
      <c r="AI78" s="7"/>
      <c r="AJ78" s="189" t="str">
        <f t="shared" si="346"/>
        <v/>
      </c>
      <c r="AK78" s="320" t="str">
        <f t="shared" si="347"/>
        <v/>
      </c>
      <c r="AL78" s="320" t="str">
        <f t="shared" si="348"/>
        <v/>
      </c>
      <c r="AM78" s="320" t="str">
        <f t="shared" si="349"/>
        <v/>
      </c>
      <c r="AN78" s="320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37"/>
      <c r="B79" s="962" t="s">
        <v>792</v>
      </c>
      <c r="C79" s="962"/>
      <c r="D79" s="962"/>
      <c r="E79" s="962"/>
      <c r="F79" s="962"/>
      <c r="G79" s="962"/>
      <c r="H79" s="962"/>
      <c r="I79" s="962"/>
      <c r="J79" s="962"/>
      <c r="K79" s="82"/>
      <c r="L79" s="326" t="str">
        <f>SUBTOTAL(3,L80:L82)&amp;"건"</f>
        <v>0건</v>
      </c>
      <c r="M79" s="437">
        <f t="shared" ref="M79:S79" si="353">SUBTOTAL(9,M80:M82)</f>
        <v>0</v>
      </c>
      <c r="N79" s="437">
        <f t="shared" si="353"/>
        <v>0</v>
      </c>
      <c r="O79" s="437">
        <f t="shared" si="353"/>
        <v>0</v>
      </c>
      <c r="P79" s="437">
        <f t="shared" si="353"/>
        <v>0</v>
      </c>
      <c r="Q79" s="437">
        <f t="shared" si="353"/>
        <v>0</v>
      </c>
      <c r="R79" s="437">
        <f t="shared" si="353"/>
        <v>0</v>
      </c>
      <c r="S79" s="437">
        <f t="shared" si="353"/>
        <v>0</v>
      </c>
      <c r="T79" s="81"/>
      <c r="U79" s="83"/>
      <c r="V79" s="83"/>
      <c r="W79" s="84"/>
      <c r="Y79" s="85"/>
      <c r="Z79" s="81"/>
      <c r="AA79" s="43"/>
      <c r="AB79" s="437">
        <f t="shared" ref="AB79:AC79" si="354">SUBTOTAL(9,AB80:AB82)</f>
        <v>0</v>
      </c>
      <c r="AC79" s="437">
        <f t="shared" si="354"/>
        <v>0</v>
      </c>
      <c r="AD79" s="511" t="str">
        <f>IF(COUNTIF(AD80:AD82,"@@")&gt;0,"@@","OK")</f>
        <v>OK</v>
      </c>
      <c r="AE79" s="52"/>
      <c r="AF79" s="437">
        <f t="shared" ref="AF79:AG79" si="355">SUBTOTAL(9,AF80:AF82)</f>
        <v>0</v>
      </c>
      <c r="AG79" s="437">
        <f t="shared" si="355"/>
        <v>0</v>
      </c>
      <c r="AH79" s="511" t="str">
        <f>IF(COUNTIF(AH80:AH82,"@@")&gt;0,"@@","OK")</f>
        <v>OK</v>
      </c>
      <c r="AI79" s="43"/>
      <c r="AJ79" s="80"/>
      <c r="AK79" s="80"/>
      <c r="AL79" s="511" t="str">
        <f>IF(COUNTIF(AL80:AL82,"@@")&gt;0,"@@","OK")</f>
        <v>OK</v>
      </c>
      <c r="AM79" s="80"/>
      <c r="AN79" s="511" t="str">
        <f>IF(COUNTIF(AN80:AN82,"@@")&gt;0,"@@","OK")</f>
        <v>OK</v>
      </c>
    </row>
    <row r="80" spans="1:40" s="19" customFormat="1" ht="80.099999999999994" customHeight="1">
      <c r="A80" s="126" t="str">
        <f>IF(D80="","",COUNTA($C$7:C80)-COUNTBLANK($C$7:C80)+19)</f>
        <v/>
      </c>
      <c r="B80" s="127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27" t="str">
        <f>IF(D80="","",IF(OR(D80="교육지원과",D80="총무과",D80="인사과"),"직접입력",VLOOKUP(D80,구분표!$A$3:$C$258,3,)))</f>
        <v/>
      </c>
      <c r="D80" s="194"/>
      <c r="E80" s="181"/>
      <c r="F80" s="350" t="str">
        <f>IF($E80="","",IF($E80="2추","직접입력","-"))</f>
        <v/>
      </c>
      <c r="G80" s="350" t="str">
        <f>IF($E80="","",IF($E80="2추","직접입력","-"))</f>
        <v/>
      </c>
      <c r="H80" s="181"/>
      <c r="I80" s="127" t="str">
        <f>IF(H80="","",VLOOKUP($H80,구분표!$K$3:$M$147,2,FALSE))</f>
        <v/>
      </c>
      <c r="J80" s="127" t="str">
        <f>IF(I80="","",VLOOKUP($H80,구분표!$K$3:$M$147,3,FALSE))</f>
        <v/>
      </c>
      <c r="K80" s="201"/>
      <c r="L80" s="201"/>
      <c r="M80" s="419" t="str">
        <f>IF($E80="","",IF(OR($E80="2추", $E80="1추", $E80="본예산"), "금액입력", "-"))</f>
        <v/>
      </c>
      <c r="N80" s="419" t="str">
        <f>IF($E80="", "", IF($E80="2추","금액입력", "-"))</f>
        <v/>
      </c>
      <c r="O80" s="421" t="str">
        <f t="shared" ref="O80:O82" si="356">IF($E80="","",SUM(M80:N80))</f>
        <v/>
      </c>
      <c r="P80" s="420"/>
      <c r="Q80" s="421">
        <f t="shared" ref="Q80:Q82" si="357">SUM(O80:P80)</f>
        <v>0</v>
      </c>
      <c r="R80" s="422"/>
      <c r="S80" s="423">
        <f t="shared" ref="S80:S82" si="358">SUM(O80,R80)</f>
        <v>0</v>
      </c>
      <c r="T80" s="133" t="str">
        <f t="shared" ref="T80:T82" si="359">IF(AND((Q80=0),(S80&gt;0)),"O",IF(AND((P80&lt;0),(Q80-S80&lt;0)),"O","X"))</f>
        <v>X</v>
      </c>
      <c r="U80" s="198"/>
      <c r="V80" s="192"/>
      <c r="W80" s="185"/>
      <c r="X80" s="202"/>
      <c r="Y80" s="185"/>
      <c r="Z80" s="320" t="str">
        <f t="shared" ref="Z80:Z82" si="360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46" t="str">
        <f t="shared" ref="AB80:AB82" si="361">IF($Z80="","",IF($Z80="국도비","금액입력",0))</f>
        <v/>
      </c>
      <c r="AC80" s="447">
        <f t="shared" ref="AC80:AC82" si="362">IFERROR(P80-AB80,0)</f>
        <v>0</v>
      </c>
      <c r="AD80" s="320" t="str">
        <f t="shared" ref="AD80:AD82" si="363">IF($P80=SUM($AB80:$AC80),"OK","@@")</f>
        <v>OK</v>
      </c>
      <c r="AE80" s="7"/>
      <c r="AF80" s="462" t="str">
        <f t="shared" ref="AF80:AF82" si="364">IF($Z80="","",IF($Z80="국도비","금액입력",0))</f>
        <v/>
      </c>
      <c r="AG80" s="463">
        <f t="shared" ref="AG80:AG82" si="365">IFERROR(R80-AF80,0)</f>
        <v>0</v>
      </c>
      <c r="AH80" s="343" t="str">
        <f t="shared" ref="AH80:AH82" si="366">IF($R80=SUM($AF80:$AG80),"OK","@@")</f>
        <v>OK</v>
      </c>
      <c r="AI80" s="7"/>
      <c r="AJ80" s="189" t="str">
        <f t="shared" ref="AJ80:AJ82" si="367">IF($Z80="","",IF($Z80="도비","-","세입번호입력"))</f>
        <v/>
      </c>
      <c r="AK80" s="320" t="str">
        <f t="shared" ref="AK80:AK82" si="368">IF(OR(AJ80="",AJ80="-",AJ80="세입번호입력"),"", COUNTIF($AJ$7:$AJ$1013,AJ80))</f>
        <v/>
      </c>
      <c r="AL80" s="320" t="str">
        <f t="shared" ref="AL80:AL82" si="369">IF($AJ80="","",IF($Z80="도비", "OK",IF(AND($Z80="국도비",$AJ80="세입없음"),"OK", IF(AND($Z80="국도비",$AJ80="세입번호입력"),"@@","OK"))))</f>
        <v/>
      </c>
      <c r="AM80" s="320" t="str">
        <f t="shared" ref="AM80:AM82" si="370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20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26" t="str">
        <f>IF(D81="","",COUNTA($C$7:C81)-COUNTBLANK($C$7:C81)+19)</f>
        <v/>
      </c>
      <c r="B81" s="127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27" t="str">
        <f>IF(D81="","",IF(OR(D81="교육지원과",D81="총무과",D81="인사과"),"직접입력",VLOOKUP(D81,구분표!$A$3:$C$258,3,)))</f>
        <v/>
      </c>
      <c r="D81" s="194"/>
      <c r="E81" s="181"/>
      <c r="F81" s="350" t="str">
        <f t="shared" ref="F81:G82" si="371">IF($E81="","",IF($E81="2추","직접입력","-"))</f>
        <v/>
      </c>
      <c r="G81" s="350" t="str">
        <f t="shared" si="371"/>
        <v/>
      </c>
      <c r="H81" s="181"/>
      <c r="I81" s="127" t="str">
        <f>IF(H81="","",VLOOKUP($H81,구분표!$K$3:$M$147,2,FALSE))</f>
        <v/>
      </c>
      <c r="J81" s="127" t="str">
        <f>IF(I81="","",VLOOKUP($H81,구분표!$K$3:$M$147,3,FALSE))</f>
        <v/>
      </c>
      <c r="K81" s="201"/>
      <c r="L81" s="201"/>
      <c r="M81" s="419" t="str">
        <f t="shared" ref="M81:M82" si="372">IF($E81="","",IF(OR($E81="2추", $E81="1추", $E81="본예산"), "금액입력", "-"))</f>
        <v/>
      </c>
      <c r="N81" s="419" t="str">
        <f t="shared" ref="N81:N82" si="373">IF($E81="", "", IF($E81="2추","금액입력", "-"))</f>
        <v/>
      </c>
      <c r="O81" s="421" t="str">
        <f t="shared" si="356"/>
        <v/>
      </c>
      <c r="P81" s="420"/>
      <c r="Q81" s="421">
        <f t="shared" si="357"/>
        <v>0</v>
      </c>
      <c r="R81" s="422"/>
      <c r="S81" s="423">
        <f t="shared" si="358"/>
        <v>0</v>
      </c>
      <c r="T81" s="133" t="str">
        <f t="shared" si="359"/>
        <v>X</v>
      </c>
      <c r="U81" s="198"/>
      <c r="V81" s="192"/>
      <c r="W81" s="185"/>
      <c r="X81" s="202"/>
      <c r="Y81" s="185"/>
      <c r="Z81" s="320" t="str">
        <f t="shared" si="360"/>
        <v/>
      </c>
      <c r="AA81" s="60"/>
      <c r="AB81" s="446" t="str">
        <f t="shared" si="361"/>
        <v/>
      </c>
      <c r="AC81" s="447">
        <f t="shared" si="362"/>
        <v>0</v>
      </c>
      <c r="AD81" s="320" t="str">
        <f t="shared" si="363"/>
        <v>OK</v>
      </c>
      <c r="AE81" s="7"/>
      <c r="AF81" s="462" t="str">
        <f t="shared" si="364"/>
        <v/>
      </c>
      <c r="AG81" s="463">
        <f t="shared" si="365"/>
        <v>0</v>
      </c>
      <c r="AH81" s="343" t="str">
        <f t="shared" si="366"/>
        <v>OK</v>
      </c>
      <c r="AI81" s="7"/>
      <c r="AJ81" s="189" t="str">
        <f t="shared" si="367"/>
        <v/>
      </c>
      <c r="AK81" s="320" t="str">
        <f t="shared" si="368"/>
        <v/>
      </c>
      <c r="AL81" s="320" t="str">
        <f t="shared" si="369"/>
        <v/>
      </c>
      <c r="AM81" s="320" t="str">
        <f t="shared" si="370"/>
        <v/>
      </c>
      <c r="AN81" s="320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26" t="str">
        <f>IF(D82="","",COUNTA($C$7:C82)-COUNTBLANK($C$7:C82)+19)</f>
        <v/>
      </c>
      <c r="B82" s="127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27" t="str">
        <f>IF(D82="","",IF(OR(D82="교육지원과",D82="총무과",D82="인사과"),"직접입력",VLOOKUP(D82,구분표!$A$3:$C$258,3,)))</f>
        <v/>
      </c>
      <c r="D82" s="194"/>
      <c r="E82" s="181"/>
      <c r="F82" s="350" t="str">
        <f t="shared" si="371"/>
        <v/>
      </c>
      <c r="G82" s="350" t="str">
        <f t="shared" si="371"/>
        <v/>
      </c>
      <c r="H82" s="181"/>
      <c r="I82" s="127" t="str">
        <f>IF(H82="","",VLOOKUP($H82,구분표!$K$3:$M$147,2,FALSE))</f>
        <v/>
      </c>
      <c r="J82" s="127" t="str">
        <f>IF(I82="","",VLOOKUP($H82,구분표!$K$3:$M$147,3,FALSE))</f>
        <v/>
      </c>
      <c r="K82" s="201"/>
      <c r="L82" s="201"/>
      <c r="M82" s="419" t="str">
        <f t="shared" si="372"/>
        <v/>
      </c>
      <c r="N82" s="419" t="str">
        <f t="shared" si="373"/>
        <v/>
      </c>
      <c r="O82" s="421" t="str">
        <f t="shared" si="356"/>
        <v/>
      </c>
      <c r="P82" s="420"/>
      <c r="Q82" s="421">
        <f t="shared" si="357"/>
        <v>0</v>
      </c>
      <c r="R82" s="422"/>
      <c r="S82" s="423">
        <f t="shared" si="358"/>
        <v>0</v>
      </c>
      <c r="T82" s="133" t="str">
        <f t="shared" si="359"/>
        <v>X</v>
      </c>
      <c r="U82" s="198"/>
      <c r="V82" s="192"/>
      <c r="W82" s="185"/>
      <c r="X82" s="202"/>
      <c r="Y82" s="185"/>
      <c r="Z82" s="320" t="str">
        <f t="shared" si="360"/>
        <v/>
      </c>
      <c r="AA82" s="60"/>
      <c r="AB82" s="446" t="str">
        <f t="shared" si="361"/>
        <v/>
      </c>
      <c r="AC82" s="447">
        <f t="shared" si="362"/>
        <v>0</v>
      </c>
      <c r="AD82" s="320" t="str">
        <f t="shared" si="363"/>
        <v>OK</v>
      </c>
      <c r="AE82" s="7"/>
      <c r="AF82" s="462" t="str">
        <f t="shared" si="364"/>
        <v/>
      </c>
      <c r="AG82" s="463">
        <f t="shared" si="365"/>
        <v>0</v>
      </c>
      <c r="AH82" s="343" t="str">
        <f t="shared" si="366"/>
        <v>OK</v>
      </c>
      <c r="AI82" s="7"/>
      <c r="AJ82" s="189" t="str">
        <f t="shared" si="367"/>
        <v/>
      </c>
      <c r="AK82" s="320" t="str">
        <f t="shared" si="368"/>
        <v/>
      </c>
      <c r="AL82" s="320" t="str">
        <f t="shared" si="369"/>
        <v/>
      </c>
      <c r="AM82" s="320" t="str">
        <f t="shared" si="370"/>
        <v/>
      </c>
      <c r="AN82" s="320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37"/>
      <c r="B83" s="962" t="s">
        <v>793</v>
      </c>
      <c r="C83" s="962"/>
      <c r="D83" s="962"/>
      <c r="E83" s="962"/>
      <c r="F83" s="962"/>
      <c r="G83" s="962"/>
      <c r="H83" s="962"/>
      <c r="I83" s="962"/>
      <c r="J83" s="962"/>
      <c r="K83" s="82"/>
      <c r="L83" s="326" t="str">
        <f>SUBTOTAL(3,L84:L86)&amp;"건"</f>
        <v>0건</v>
      </c>
      <c r="M83" s="437">
        <f t="shared" ref="M83:S83" si="374">SUBTOTAL(9,M84:M86)</f>
        <v>0</v>
      </c>
      <c r="N83" s="437">
        <f t="shared" si="374"/>
        <v>0</v>
      </c>
      <c r="O83" s="437">
        <f t="shared" si="374"/>
        <v>0</v>
      </c>
      <c r="P83" s="437">
        <f t="shared" si="374"/>
        <v>0</v>
      </c>
      <c r="Q83" s="437">
        <f t="shared" si="374"/>
        <v>0</v>
      </c>
      <c r="R83" s="437">
        <f t="shared" si="374"/>
        <v>0</v>
      </c>
      <c r="S83" s="437">
        <f t="shared" si="374"/>
        <v>0</v>
      </c>
      <c r="T83" s="81"/>
      <c r="U83" s="83"/>
      <c r="V83" s="83"/>
      <c r="W83" s="84"/>
      <c r="Y83" s="85"/>
      <c r="Z83" s="81"/>
      <c r="AA83" s="43"/>
      <c r="AB83" s="437">
        <f t="shared" ref="AB83:AC83" si="375">SUBTOTAL(9,AB84:AB86)</f>
        <v>0</v>
      </c>
      <c r="AC83" s="437">
        <f t="shared" si="375"/>
        <v>0</v>
      </c>
      <c r="AD83" s="511" t="str">
        <f>IF(COUNTIF(AD84:AD86,"@@")&gt;0,"@@","OK")</f>
        <v>OK</v>
      </c>
      <c r="AE83" s="52"/>
      <c r="AF83" s="437">
        <f t="shared" ref="AF83:AG83" si="376">SUBTOTAL(9,AF84:AF86)</f>
        <v>0</v>
      </c>
      <c r="AG83" s="437">
        <f t="shared" si="376"/>
        <v>0</v>
      </c>
      <c r="AH83" s="511" t="str">
        <f>IF(COUNTIF(AH84:AH86,"@@")&gt;0,"@@","OK")</f>
        <v>OK</v>
      </c>
      <c r="AI83" s="43"/>
      <c r="AJ83" s="80"/>
      <c r="AK83" s="80"/>
      <c r="AL83" s="511" t="str">
        <f>IF(COUNTIF(AL84:AL86,"@@")&gt;0,"@@","OK")</f>
        <v>OK</v>
      </c>
      <c r="AM83" s="80"/>
      <c r="AN83" s="511" t="str">
        <f>IF(COUNTIF(AN84:AN86,"@@")&gt;0,"@@","OK")</f>
        <v>OK</v>
      </c>
    </row>
    <row r="84" spans="1:40" s="19" customFormat="1" ht="80.099999999999994" customHeight="1">
      <c r="A84" s="126" t="str">
        <f>IF(D84="","",COUNTA($C$7:C84)-COUNTBLANK($C$7:C84)+20)</f>
        <v/>
      </c>
      <c r="B84" s="127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27" t="str">
        <f>IF(D84="","",IF(OR(D84="교육지원과",D84="총무과",D84="인사과"),"직접입력",VLOOKUP(D84,구분표!$A$3:$C$258,3,)))</f>
        <v/>
      </c>
      <c r="D84" s="194"/>
      <c r="E84" s="181"/>
      <c r="F84" s="350" t="str">
        <f>IF($E84="","",IF($E84="2추","직접입력","-"))</f>
        <v/>
      </c>
      <c r="G84" s="350" t="str">
        <f>IF($E84="","",IF($E84="2추","직접입력","-"))</f>
        <v/>
      </c>
      <c r="H84" s="181"/>
      <c r="I84" s="127" t="str">
        <f>IF(H84="","",VLOOKUP($H84,구분표!$K$3:$M$147,2,FALSE))</f>
        <v/>
      </c>
      <c r="J84" s="127" t="str">
        <f>IF(I84="","",VLOOKUP($H84,구분표!$K$3:$M$147,3,FALSE))</f>
        <v/>
      </c>
      <c r="K84" s="201"/>
      <c r="L84" s="201"/>
      <c r="M84" s="419" t="str">
        <f>IF($E84="","",IF(OR($E84="2추", $E84="1추", $E84="본예산"), "금액입력", "-"))</f>
        <v/>
      </c>
      <c r="N84" s="419" t="str">
        <f>IF($E84="", "", IF($E84="2추","금액입력", "-"))</f>
        <v/>
      </c>
      <c r="O84" s="421" t="str">
        <f t="shared" ref="O84:O86" si="377">IF($E84="","",SUM(M84:N84))</f>
        <v/>
      </c>
      <c r="P84" s="420"/>
      <c r="Q84" s="421">
        <f t="shared" ref="Q84:Q86" si="378">SUM(O84:P84)</f>
        <v>0</v>
      </c>
      <c r="R84" s="422"/>
      <c r="S84" s="423">
        <f t="shared" ref="S84:S86" si="379">SUM(O84,R84)</f>
        <v>0</v>
      </c>
      <c r="T84" s="133" t="str">
        <f t="shared" ref="T84:T86" si="380">IF(AND((Q84=0),(S84&gt;0)),"O",IF(AND((P84&lt;0),(Q84-S84&lt;0)),"O","X"))</f>
        <v>X</v>
      </c>
      <c r="U84" s="198"/>
      <c r="V84" s="192"/>
      <c r="W84" s="185"/>
      <c r="X84" s="202"/>
      <c r="Y84" s="185"/>
      <c r="Z84" s="320" t="str">
        <f t="shared" ref="Z84:Z86" si="381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46" t="str">
        <f t="shared" ref="AB84:AB86" si="382">IF($Z84="","",IF($Z84="국도비","금액입력",0))</f>
        <v/>
      </c>
      <c r="AC84" s="447">
        <f t="shared" ref="AC84:AC86" si="383">IFERROR(P84-AB84,0)</f>
        <v>0</v>
      </c>
      <c r="AD84" s="320" t="str">
        <f t="shared" ref="AD84:AD86" si="384">IF($P84=SUM($AB84:$AC84),"OK","@@")</f>
        <v>OK</v>
      </c>
      <c r="AE84" s="7"/>
      <c r="AF84" s="462" t="str">
        <f t="shared" ref="AF84:AF86" si="385">IF($Z84="","",IF($Z84="국도비","금액입력",0))</f>
        <v/>
      </c>
      <c r="AG84" s="463">
        <f t="shared" ref="AG84:AG86" si="386">IFERROR(R84-AF84,0)</f>
        <v>0</v>
      </c>
      <c r="AH84" s="343" t="str">
        <f t="shared" ref="AH84:AH86" si="387">IF($R84=SUM($AF84:$AG84),"OK","@@")</f>
        <v>OK</v>
      </c>
      <c r="AI84" s="7"/>
      <c r="AJ84" s="189" t="str">
        <f t="shared" ref="AJ84:AJ86" si="388">IF($Z84="","",IF($Z84="도비","-","세입번호입력"))</f>
        <v/>
      </c>
      <c r="AK84" s="320" t="str">
        <f t="shared" ref="AK84:AK86" si="389">IF(OR(AJ84="",AJ84="-",AJ84="세입번호입력"),"", COUNTIF($AJ$7:$AJ$1013,AJ84))</f>
        <v/>
      </c>
      <c r="AL84" s="320" t="str">
        <f t="shared" ref="AL84:AL86" si="390">IF($AJ84="","",IF($Z84="도비", "OK",IF(AND($Z84="국도비",$AJ84="세입없음"),"OK", IF(AND($Z84="국도비",$AJ84="세입번호입력"),"@@","OK"))))</f>
        <v/>
      </c>
      <c r="AM84" s="320" t="str">
        <f t="shared" ref="AM84:AM86" si="391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20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26" t="str">
        <f>IF(D85="","",COUNTA($C$7:C85)-COUNTBLANK($C$7:C85)+20)</f>
        <v/>
      </c>
      <c r="B85" s="127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27" t="str">
        <f>IF(D85="","",IF(OR(D85="교육지원과",D85="총무과",D85="인사과"),"직접입력",VLOOKUP(D85,구분표!$A$3:$C$258,3,)))</f>
        <v/>
      </c>
      <c r="D85" s="194"/>
      <c r="E85" s="181"/>
      <c r="F85" s="350" t="str">
        <f t="shared" ref="F85:G86" si="392">IF($E85="","",IF($E85="2추","직접입력","-"))</f>
        <v/>
      </c>
      <c r="G85" s="350" t="str">
        <f t="shared" si="392"/>
        <v/>
      </c>
      <c r="H85" s="181"/>
      <c r="I85" s="127" t="str">
        <f>IF(H85="","",VLOOKUP($H85,구분표!$K$3:$M$147,2,FALSE))</f>
        <v/>
      </c>
      <c r="J85" s="127" t="str">
        <f>IF(I85="","",VLOOKUP($H85,구분표!$K$3:$M$147,3,FALSE))</f>
        <v/>
      </c>
      <c r="K85" s="201"/>
      <c r="L85" s="201"/>
      <c r="M85" s="419" t="str">
        <f t="shared" ref="M85:M86" si="393">IF($E85="","",IF(OR($E85="2추", $E85="1추", $E85="본예산"), "금액입력", "-"))</f>
        <v/>
      </c>
      <c r="N85" s="419" t="str">
        <f t="shared" ref="N85:N86" si="394">IF($E85="", "", IF($E85="2추","금액입력", "-"))</f>
        <v/>
      </c>
      <c r="O85" s="421" t="str">
        <f t="shared" si="377"/>
        <v/>
      </c>
      <c r="P85" s="420"/>
      <c r="Q85" s="421">
        <f t="shared" si="378"/>
        <v>0</v>
      </c>
      <c r="R85" s="422"/>
      <c r="S85" s="423">
        <f t="shared" si="379"/>
        <v>0</v>
      </c>
      <c r="T85" s="133" t="str">
        <f t="shared" si="380"/>
        <v>X</v>
      </c>
      <c r="U85" s="198"/>
      <c r="V85" s="192"/>
      <c r="W85" s="185"/>
      <c r="X85" s="202"/>
      <c r="Y85" s="185"/>
      <c r="Z85" s="320" t="str">
        <f t="shared" si="381"/>
        <v/>
      </c>
      <c r="AA85" s="60"/>
      <c r="AB85" s="446" t="str">
        <f t="shared" si="382"/>
        <v/>
      </c>
      <c r="AC85" s="447">
        <f t="shared" si="383"/>
        <v>0</v>
      </c>
      <c r="AD85" s="320" t="str">
        <f t="shared" si="384"/>
        <v>OK</v>
      </c>
      <c r="AE85" s="7"/>
      <c r="AF85" s="462" t="str">
        <f t="shared" si="385"/>
        <v/>
      </c>
      <c r="AG85" s="463">
        <f t="shared" si="386"/>
        <v>0</v>
      </c>
      <c r="AH85" s="343" t="str">
        <f t="shared" si="387"/>
        <v>OK</v>
      </c>
      <c r="AI85" s="7"/>
      <c r="AJ85" s="189" t="str">
        <f t="shared" si="388"/>
        <v/>
      </c>
      <c r="AK85" s="320" t="str">
        <f t="shared" si="389"/>
        <v/>
      </c>
      <c r="AL85" s="320" t="str">
        <f t="shared" si="390"/>
        <v/>
      </c>
      <c r="AM85" s="320" t="str">
        <f t="shared" si="391"/>
        <v/>
      </c>
      <c r="AN85" s="320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26" t="str">
        <f>IF(D86="","",COUNTA($C$7:C86)-COUNTBLANK($C$7:C86)+20)</f>
        <v/>
      </c>
      <c r="B86" s="127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27" t="str">
        <f>IF(D86="","",IF(OR(D86="교육지원과",D86="총무과",D86="인사과"),"직접입력",VLOOKUP(D86,구분표!$A$3:$C$258,3,)))</f>
        <v/>
      </c>
      <c r="D86" s="194"/>
      <c r="E86" s="181"/>
      <c r="F86" s="350" t="str">
        <f t="shared" si="392"/>
        <v/>
      </c>
      <c r="G86" s="350" t="str">
        <f t="shared" si="392"/>
        <v/>
      </c>
      <c r="H86" s="181"/>
      <c r="I86" s="127" t="str">
        <f>IF(H86="","",VLOOKUP($H86,구분표!$K$3:$M$147,2,FALSE))</f>
        <v/>
      </c>
      <c r="J86" s="127" t="str">
        <f>IF(I86="","",VLOOKUP($H86,구분표!$K$3:$M$147,3,FALSE))</f>
        <v/>
      </c>
      <c r="K86" s="201"/>
      <c r="L86" s="201"/>
      <c r="M86" s="419" t="str">
        <f t="shared" si="393"/>
        <v/>
      </c>
      <c r="N86" s="419" t="str">
        <f t="shared" si="394"/>
        <v/>
      </c>
      <c r="O86" s="421" t="str">
        <f t="shared" si="377"/>
        <v/>
      </c>
      <c r="P86" s="420"/>
      <c r="Q86" s="421">
        <f t="shared" si="378"/>
        <v>0</v>
      </c>
      <c r="R86" s="422"/>
      <c r="S86" s="423">
        <f t="shared" si="379"/>
        <v>0</v>
      </c>
      <c r="T86" s="133" t="str">
        <f t="shared" si="380"/>
        <v>X</v>
      </c>
      <c r="U86" s="198"/>
      <c r="V86" s="192"/>
      <c r="W86" s="185"/>
      <c r="X86" s="202"/>
      <c r="Y86" s="185"/>
      <c r="Z86" s="320" t="str">
        <f t="shared" si="381"/>
        <v/>
      </c>
      <c r="AA86" s="60"/>
      <c r="AB86" s="446" t="str">
        <f t="shared" si="382"/>
        <v/>
      </c>
      <c r="AC86" s="447">
        <f t="shared" si="383"/>
        <v>0</v>
      </c>
      <c r="AD86" s="320" t="str">
        <f t="shared" si="384"/>
        <v>OK</v>
      </c>
      <c r="AE86" s="7"/>
      <c r="AF86" s="462" t="str">
        <f t="shared" si="385"/>
        <v/>
      </c>
      <c r="AG86" s="463">
        <f t="shared" si="386"/>
        <v>0</v>
      </c>
      <c r="AH86" s="343" t="str">
        <f t="shared" si="387"/>
        <v>OK</v>
      </c>
      <c r="AI86" s="7"/>
      <c r="AJ86" s="189" t="str">
        <f t="shared" si="388"/>
        <v/>
      </c>
      <c r="AK86" s="320" t="str">
        <f t="shared" si="389"/>
        <v/>
      </c>
      <c r="AL86" s="320" t="str">
        <f t="shared" si="390"/>
        <v/>
      </c>
      <c r="AM86" s="320" t="str">
        <f t="shared" si="391"/>
        <v/>
      </c>
      <c r="AN86" s="320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37"/>
      <c r="B87" s="962" t="s">
        <v>794</v>
      </c>
      <c r="C87" s="962"/>
      <c r="D87" s="962"/>
      <c r="E87" s="962"/>
      <c r="F87" s="962"/>
      <c r="G87" s="962"/>
      <c r="H87" s="962"/>
      <c r="I87" s="962"/>
      <c r="J87" s="962"/>
      <c r="K87" s="82"/>
      <c r="L87" s="326" t="str">
        <f>SUBTOTAL(3,L88:L90)&amp;"건"</f>
        <v>0건</v>
      </c>
      <c r="M87" s="437">
        <f t="shared" ref="M87:S87" si="395">SUBTOTAL(9,M88:M90)</f>
        <v>0</v>
      </c>
      <c r="N87" s="437">
        <f t="shared" si="395"/>
        <v>0</v>
      </c>
      <c r="O87" s="437">
        <f t="shared" si="395"/>
        <v>0</v>
      </c>
      <c r="P87" s="437">
        <f t="shared" si="395"/>
        <v>0</v>
      </c>
      <c r="Q87" s="437">
        <f t="shared" si="395"/>
        <v>0</v>
      </c>
      <c r="R87" s="437">
        <f t="shared" si="395"/>
        <v>0</v>
      </c>
      <c r="S87" s="437">
        <f t="shared" si="395"/>
        <v>0</v>
      </c>
      <c r="T87" s="81"/>
      <c r="U87" s="83"/>
      <c r="V87" s="83"/>
      <c r="W87" s="84"/>
      <c r="Y87" s="85"/>
      <c r="Z87" s="81"/>
      <c r="AA87" s="43"/>
      <c r="AB87" s="437">
        <f t="shared" ref="AB87:AC87" si="396">SUBTOTAL(9,AB88:AB90)</f>
        <v>0</v>
      </c>
      <c r="AC87" s="437">
        <f t="shared" si="396"/>
        <v>0</v>
      </c>
      <c r="AD87" s="511" t="str">
        <f>IF(COUNTIF(AD88:AD90,"@@")&gt;0,"@@","OK")</f>
        <v>OK</v>
      </c>
      <c r="AE87" s="52"/>
      <c r="AF87" s="437">
        <f t="shared" ref="AF87:AG87" si="397">SUBTOTAL(9,AF88:AF90)</f>
        <v>0</v>
      </c>
      <c r="AG87" s="437">
        <f t="shared" si="397"/>
        <v>0</v>
      </c>
      <c r="AH87" s="511" t="str">
        <f>IF(COUNTIF(AH88:AH90,"@@")&gt;0,"@@","OK")</f>
        <v>OK</v>
      </c>
      <c r="AI87" s="43"/>
      <c r="AJ87" s="80"/>
      <c r="AK87" s="80"/>
      <c r="AL87" s="511" t="str">
        <f>IF(COUNTIF(AL88:AL90,"@@")&gt;0,"@@","OK")</f>
        <v>OK</v>
      </c>
      <c r="AM87" s="80"/>
      <c r="AN87" s="511" t="str">
        <f>IF(COUNTIF(AN88:AN90,"@@")&gt;0,"@@","OK")</f>
        <v>OK</v>
      </c>
    </row>
    <row r="88" spans="1:40" s="19" customFormat="1" ht="80.099999999999994" customHeight="1">
      <c r="A88" s="126" t="str">
        <f>IF(D88="","",COUNTA($C$7:C88)-COUNTBLANK($C$7:C88)+21)</f>
        <v/>
      </c>
      <c r="B88" s="127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27" t="str">
        <f>IF(D88="","",IF(OR(D88="교육지원과",D88="총무과",D88="인사과"),"직접입력",VLOOKUP(D88,구분표!$A$3:$C$258,3,)))</f>
        <v/>
      </c>
      <c r="D88" s="194"/>
      <c r="E88" s="181"/>
      <c r="F88" s="350" t="str">
        <f>IF($E88="","",IF($E88="2추","직접입력","-"))</f>
        <v/>
      </c>
      <c r="G88" s="350" t="str">
        <f>IF($E88="","",IF($E88="2추","직접입력","-"))</f>
        <v/>
      </c>
      <c r="H88" s="181"/>
      <c r="I88" s="127" t="str">
        <f>IF(H88="","",VLOOKUP($H88,구분표!$K$3:$M$147,2,FALSE))</f>
        <v/>
      </c>
      <c r="J88" s="127" t="str">
        <f>IF(I88="","",VLOOKUP($H88,구분표!$K$3:$M$147,3,FALSE))</f>
        <v/>
      </c>
      <c r="K88" s="201"/>
      <c r="L88" s="201"/>
      <c r="M88" s="419" t="str">
        <f>IF($E88="","",IF(OR($E88="2추", $E88="1추", $E88="본예산"), "금액입력", "-"))</f>
        <v/>
      </c>
      <c r="N88" s="419" t="str">
        <f>IF($E88="", "", IF($E88="2추","금액입력", "-"))</f>
        <v/>
      </c>
      <c r="O88" s="421" t="str">
        <f t="shared" ref="O88:O90" si="398">IF($E88="","",SUM(M88:N88))</f>
        <v/>
      </c>
      <c r="P88" s="420"/>
      <c r="Q88" s="421">
        <f t="shared" ref="Q88:Q90" si="399">SUM(O88:P88)</f>
        <v>0</v>
      </c>
      <c r="R88" s="422"/>
      <c r="S88" s="423">
        <f t="shared" ref="S88:S90" si="400">SUM(O88,R88)</f>
        <v>0</v>
      </c>
      <c r="T88" s="133" t="str">
        <f t="shared" ref="T88:T90" si="401">IF(AND((Q88=0),(S88&gt;0)),"O",IF(AND((P88&lt;0),(Q88-S88&lt;0)),"O","X"))</f>
        <v>X</v>
      </c>
      <c r="U88" s="198"/>
      <c r="V88" s="192"/>
      <c r="W88" s="185"/>
      <c r="X88" s="202"/>
      <c r="Y88" s="185"/>
      <c r="Z88" s="320" t="str">
        <f t="shared" ref="Z88:Z90" si="402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46" t="str">
        <f t="shared" ref="AB88:AB90" si="403">IF($Z88="","",IF($Z88="국도비","금액입력",0))</f>
        <v/>
      </c>
      <c r="AC88" s="447">
        <f t="shared" ref="AC88:AC90" si="404">IFERROR(P88-AB88,0)</f>
        <v>0</v>
      </c>
      <c r="AD88" s="320" t="str">
        <f t="shared" ref="AD88:AD90" si="405">IF($P88=SUM($AB88:$AC88),"OK","@@")</f>
        <v>OK</v>
      </c>
      <c r="AE88" s="7"/>
      <c r="AF88" s="462" t="str">
        <f t="shared" ref="AF88:AF90" si="406">IF($Z88="","",IF($Z88="국도비","금액입력",0))</f>
        <v/>
      </c>
      <c r="AG88" s="463">
        <f t="shared" ref="AG88:AG90" si="407">IFERROR(R88-AF88,0)</f>
        <v>0</v>
      </c>
      <c r="AH88" s="343" t="str">
        <f t="shared" ref="AH88:AH90" si="408">IF($R88=SUM($AF88:$AG88),"OK","@@")</f>
        <v>OK</v>
      </c>
      <c r="AI88" s="7"/>
      <c r="AJ88" s="189" t="str">
        <f t="shared" ref="AJ88:AJ90" si="409">IF($Z88="","",IF($Z88="도비","-","세입번호입력"))</f>
        <v/>
      </c>
      <c r="AK88" s="320" t="str">
        <f t="shared" ref="AK88:AK90" si="410">IF(OR(AJ88="",AJ88="-",AJ88="세입번호입력"),"", COUNTIF($AJ$7:$AJ$1013,AJ88))</f>
        <v/>
      </c>
      <c r="AL88" s="320" t="str">
        <f t="shared" ref="AL88:AL90" si="411">IF($AJ88="","",IF($Z88="도비", "OK",IF(AND($Z88="국도비",$AJ88="세입없음"),"OK", IF(AND($Z88="국도비",$AJ88="세입번호입력"),"@@","OK"))))</f>
        <v/>
      </c>
      <c r="AM88" s="320" t="str">
        <f t="shared" ref="AM88:AM90" si="412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20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26" t="str">
        <f>IF(D89="","",COUNTA($C$7:C89)-COUNTBLANK($C$7:C89)+21)</f>
        <v/>
      </c>
      <c r="B89" s="127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27" t="str">
        <f>IF(D89="","",IF(OR(D89="교육지원과",D89="총무과",D89="인사과"),"직접입력",VLOOKUP(D89,구분표!$A$3:$C$258,3,)))</f>
        <v/>
      </c>
      <c r="D89" s="194"/>
      <c r="E89" s="181"/>
      <c r="F89" s="350" t="str">
        <f t="shared" ref="F89:G90" si="413">IF($E89="","",IF($E89="2추","직접입력","-"))</f>
        <v/>
      </c>
      <c r="G89" s="350" t="str">
        <f t="shared" si="413"/>
        <v/>
      </c>
      <c r="H89" s="181"/>
      <c r="I89" s="127" t="str">
        <f>IF(H89="","",VLOOKUP($H89,구분표!$K$3:$M$147,2,FALSE))</f>
        <v/>
      </c>
      <c r="J89" s="127" t="str">
        <f>IF(I89="","",VLOOKUP($H89,구분표!$K$3:$M$147,3,FALSE))</f>
        <v/>
      </c>
      <c r="K89" s="201"/>
      <c r="L89" s="201"/>
      <c r="M89" s="419" t="str">
        <f t="shared" ref="M89:M90" si="414">IF($E89="","",IF(OR($E89="2추", $E89="1추", $E89="본예산"), "금액입력", "-"))</f>
        <v/>
      </c>
      <c r="N89" s="419" t="str">
        <f t="shared" ref="N89:N90" si="415">IF($E89="", "", IF($E89="2추","금액입력", "-"))</f>
        <v/>
      </c>
      <c r="O89" s="421" t="str">
        <f t="shared" si="398"/>
        <v/>
      </c>
      <c r="P89" s="420"/>
      <c r="Q89" s="421">
        <f t="shared" si="399"/>
        <v>0</v>
      </c>
      <c r="R89" s="422"/>
      <c r="S89" s="423">
        <f t="shared" si="400"/>
        <v>0</v>
      </c>
      <c r="T89" s="133" t="str">
        <f t="shared" si="401"/>
        <v>X</v>
      </c>
      <c r="U89" s="198"/>
      <c r="V89" s="192"/>
      <c r="W89" s="185"/>
      <c r="X89" s="202"/>
      <c r="Y89" s="185"/>
      <c r="Z89" s="320" t="str">
        <f t="shared" si="402"/>
        <v/>
      </c>
      <c r="AA89" s="60"/>
      <c r="AB89" s="446" t="str">
        <f t="shared" si="403"/>
        <v/>
      </c>
      <c r="AC89" s="447">
        <f t="shared" si="404"/>
        <v>0</v>
      </c>
      <c r="AD89" s="320" t="str">
        <f t="shared" si="405"/>
        <v>OK</v>
      </c>
      <c r="AE89" s="7"/>
      <c r="AF89" s="462" t="str">
        <f t="shared" si="406"/>
        <v/>
      </c>
      <c r="AG89" s="463">
        <f t="shared" si="407"/>
        <v>0</v>
      </c>
      <c r="AH89" s="343" t="str">
        <f t="shared" si="408"/>
        <v>OK</v>
      </c>
      <c r="AI89" s="7"/>
      <c r="AJ89" s="189" t="str">
        <f t="shared" si="409"/>
        <v/>
      </c>
      <c r="AK89" s="320" t="str">
        <f t="shared" si="410"/>
        <v/>
      </c>
      <c r="AL89" s="320" t="str">
        <f t="shared" si="411"/>
        <v/>
      </c>
      <c r="AM89" s="320" t="str">
        <f t="shared" si="412"/>
        <v/>
      </c>
      <c r="AN89" s="320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26" t="str">
        <f>IF(D90="","",COUNTA($C$7:C90)-COUNTBLANK($C$7:C90)+21)</f>
        <v/>
      </c>
      <c r="B90" s="127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27" t="str">
        <f>IF(D90="","",IF(OR(D90="교육지원과",D90="총무과",D90="인사과"),"직접입력",VLOOKUP(D90,구분표!$A$3:$C$258,3,)))</f>
        <v/>
      </c>
      <c r="D90" s="194"/>
      <c r="E90" s="181"/>
      <c r="F90" s="350" t="str">
        <f t="shared" si="413"/>
        <v/>
      </c>
      <c r="G90" s="350" t="str">
        <f t="shared" si="413"/>
        <v/>
      </c>
      <c r="H90" s="181"/>
      <c r="I90" s="127" t="str">
        <f>IF(H90="","",VLOOKUP($H90,구분표!$K$3:$M$147,2,FALSE))</f>
        <v/>
      </c>
      <c r="J90" s="127" t="str">
        <f>IF(I90="","",VLOOKUP($H90,구분표!$K$3:$M$147,3,FALSE))</f>
        <v/>
      </c>
      <c r="K90" s="201"/>
      <c r="L90" s="201"/>
      <c r="M90" s="419" t="str">
        <f t="shared" si="414"/>
        <v/>
      </c>
      <c r="N90" s="419" t="str">
        <f t="shared" si="415"/>
        <v/>
      </c>
      <c r="O90" s="421" t="str">
        <f t="shared" si="398"/>
        <v/>
      </c>
      <c r="P90" s="420"/>
      <c r="Q90" s="421">
        <f t="shared" si="399"/>
        <v>0</v>
      </c>
      <c r="R90" s="422"/>
      <c r="S90" s="423">
        <f t="shared" si="400"/>
        <v>0</v>
      </c>
      <c r="T90" s="133" t="str">
        <f t="shared" si="401"/>
        <v>X</v>
      </c>
      <c r="U90" s="198"/>
      <c r="V90" s="192"/>
      <c r="W90" s="185"/>
      <c r="X90" s="202"/>
      <c r="Y90" s="185"/>
      <c r="Z90" s="320" t="str">
        <f t="shared" si="402"/>
        <v/>
      </c>
      <c r="AA90" s="60"/>
      <c r="AB90" s="446" t="str">
        <f t="shared" si="403"/>
        <v/>
      </c>
      <c r="AC90" s="447">
        <f t="shared" si="404"/>
        <v>0</v>
      </c>
      <c r="AD90" s="320" t="str">
        <f t="shared" si="405"/>
        <v>OK</v>
      </c>
      <c r="AE90" s="7"/>
      <c r="AF90" s="462" t="str">
        <f t="shared" si="406"/>
        <v/>
      </c>
      <c r="AG90" s="463">
        <f t="shared" si="407"/>
        <v>0</v>
      </c>
      <c r="AH90" s="343" t="str">
        <f t="shared" si="408"/>
        <v>OK</v>
      </c>
      <c r="AI90" s="7"/>
      <c r="AJ90" s="189" t="str">
        <f t="shared" si="409"/>
        <v/>
      </c>
      <c r="AK90" s="320" t="str">
        <f t="shared" si="410"/>
        <v/>
      </c>
      <c r="AL90" s="320" t="str">
        <f t="shared" si="411"/>
        <v/>
      </c>
      <c r="AM90" s="320" t="str">
        <f t="shared" si="412"/>
        <v/>
      </c>
      <c r="AN90" s="320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37"/>
      <c r="B91" s="962" t="s">
        <v>795</v>
      </c>
      <c r="C91" s="962"/>
      <c r="D91" s="962"/>
      <c r="E91" s="962"/>
      <c r="F91" s="962"/>
      <c r="G91" s="962"/>
      <c r="H91" s="962"/>
      <c r="I91" s="962"/>
      <c r="J91" s="962"/>
      <c r="K91" s="82"/>
      <c r="L91" s="326" t="str">
        <f>SUBTOTAL(3,L92:L94)&amp;"건"</f>
        <v>0건</v>
      </c>
      <c r="M91" s="437">
        <f>SUBTOTAL(9,M92:M94)</f>
        <v>0</v>
      </c>
      <c r="N91" s="437">
        <f t="shared" ref="N91:S91" si="416">SUBTOTAL(9,N92:N94)</f>
        <v>0</v>
      </c>
      <c r="O91" s="437">
        <f t="shared" si="416"/>
        <v>0</v>
      </c>
      <c r="P91" s="437">
        <f t="shared" si="416"/>
        <v>0</v>
      </c>
      <c r="Q91" s="437">
        <f t="shared" si="416"/>
        <v>0</v>
      </c>
      <c r="R91" s="437">
        <f t="shared" si="416"/>
        <v>0</v>
      </c>
      <c r="S91" s="437">
        <f t="shared" si="416"/>
        <v>0</v>
      </c>
      <c r="T91" s="81"/>
      <c r="U91" s="83"/>
      <c r="V91" s="83"/>
      <c r="W91" s="84"/>
      <c r="Y91" s="85"/>
      <c r="Z91" s="81"/>
      <c r="AA91" s="43"/>
      <c r="AB91" s="437">
        <f t="shared" ref="AB91:AC91" si="417">SUBTOTAL(9,AB92:AB94)</f>
        <v>0</v>
      </c>
      <c r="AC91" s="437">
        <f t="shared" si="417"/>
        <v>0</v>
      </c>
      <c r="AD91" s="511" t="str">
        <f>IF(COUNTIF(AD92:AD94,"@@")&gt;0,"@@","OK")</f>
        <v>OK</v>
      </c>
      <c r="AE91" s="52"/>
      <c r="AF91" s="437">
        <f t="shared" ref="AF91:AG91" si="418">SUBTOTAL(9,AF92:AF94)</f>
        <v>0</v>
      </c>
      <c r="AG91" s="437">
        <f t="shared" si="418"/>
        <v>0</v>
      </c>
      <c r="AH91" s="511" t="str">
        <f>IF(COUNTIF(AH92:AH94,"@@")&gt;0,"@@","OK")</f>
        <v>OK</v>
      </c>
      <c r="AI91" s="43"/>
      <c r="AJ91" s="80"/>
      <c r="AK91" s="80"/>
      <c r="AL91" s="511" t="str">
        <f>IF(COUNTIF(AL92:AL94,"@@")&gt;0,"@@","OK")</f>
        <v>OK</v>
      </c>
      <c r="AM91" s="80"/>
      <c r="AN91" s="511" t="str">
        <f>IF(COUNTIF(AN92:AN94,"@@")&gt;0,"@@","OK")</f>
        <v>OK</v>
      </c>
    </row>
    <row r="92" spans="1:40" s="19" customFormat="1" ht="80.099999999999994" customHeight="1">
      <c r="A92" s="126" t="str">
        <f>IF(D92="","",COUNTA($C$7:C92)-COUNTBLANK($C$7:C92)+22)</f>
        <v/>
      </c>
      <c r="B92" s="127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27" t="str">
        <f>IF(D92="","",IF(OR(D92="교육지원과",D92="총무과",D92="인사과"),"직접입력",VLOOKUP(D92,구분표!$A$3:$C$258,3,)))</f>
        <v/>
      </c>
      <c r="D92" s="194"/>
      <c r="E92" s="181"/>
      <c r="F92" s="350" t="str">
        <f>IF($E92="","",IF($E92="2추","직접입력","-"))</f>
        <v/>
      </c>
      <c r="G92" s="350" t="str">
        <f>IF($E92="","",IF($E92="2추","직접입력","-"))</f>
        <v/>
      </c>
      <c r="H92" s="181"/>
      <c r="I92" s="127" t="str">
        <f>IF(H92="","",VLOOKUP($H92,구분표!$K$3:$M$147,2,FALSE))</f>
        <v/>
      </c>
      <c r="J92" s="127" t="str">
        <f>IF(I92="","",VLOOKUP($H92,구분표!$K$3:$M$147,3,FALSE))</f>
        <v/>
      </c>
      <c r="K92" s="201"/>
      <c r="L92" s="201"/>
      <c r="M92" s="419" t="str">
        <f>IF($E92="","",IF(OR($E92="2추", $E92="1추", $E92="본예산"), "금액입력", "-"))</f>
        <v/>
      </c>
      <c r="N92" s="419" t="str">
        <f>IF($E92="", "", IF($E92="2추","금액입력", "-"))</f>
        <v/>
      </c>
      <c r="O92" s="421" t="str">
        <f t="shared" ref="O92:O94" si="419">IF($E92="","",SUM(M92:N92))</f>
        <v/>
      </c>
      <c r="P92" s="420"/>
      <c r="Q92" s="421">
        <f t="shared" ref="Q92:Q94" si="420">SUM(O92:P92)</f>
        <v>0</v>
      </c>
      <c r="R92" s="422"/>
      <c r="S92" s="423">
        <f t="shared" ref="S92:S94" si="421">SUM(O92,R92)</f>
        <v>0</v>
      </c>
      <c r="T92" s="133" t="str">
        <f t="shared" ref="T92:T94" si="422">IF(AND((Q92=0),(S92&gt;0)),"O",IF(AND((P92&lt;0),(Q92-S92&lt;0)),"O","X"))</f>
        <v>X</v>
      </c>
      <c r="U92" s="198"/>
      <c r="V92" s="192"/>
      <c r="W92" s="185"/>
      <c r="X92" s="202"/>
      <c r="Y92" s="185"/>
      <c r="Z92" s="320" t="str">
        <f t="shared" ref="Z92:Z94" si="423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46" t="str">
        <f t="shared" ref="AB92:AB94" si="424">IF($Z92="","",IF($Z92="국도비","금액입력",0))</f>
        <v/>
      </c>
      <c r="AC92" s="447">
        <f t="shared" ref="AC92:AC94" si="425">IFERROR(P92-AB92,0)</f>
        <v>0</v>
      </c>
      <c r="AD92" s="320" t="str">
        <f t="shared" ref="AD92:AD94" si="426">IF($P92=SUM($AB92:$AC92),"OK","@@")</f>
        <v>OK</v>
      </c>
      <c r="AE92" s="7"/>
      <c r="AF92" s="462" t="str">
        <f t="shared" ref="AF92:AF94" si="427">IF($Z92="","",IF($Z92="국도비","금액입력",0))</f>
        <v/>
      </c>
      <c r="AG92" s="463">
        <f t="shared" ref="AG92:AG94" si="428">IFERROR(R92-AF92,0)</f>
        <v>0</v>
      </c>
      <c r="AH92" s="343" t="str">
        <f t="shared" ref="AH92:AH94" si="429">IF($R92=SUM($AF92:$AG92),"OK","@@")</f>
        <v>OK</v>
      </c>
      <c r="AI92" s="7"/>
      <c r="AJ92" s="189" t="str">
        <f t="shared" ref="AJ92:AJ94" si="430">IF($Z92="","",IF($Z92="도비","-","세입번호입력"))</f>
        <v/>
      </c>
      <c r="AK92" s="320" t="str">
        <f t="shared" ref="AK92:AK94" si="431">IF(OR(AJ92="",AJ92="-",AJ92="세입번호입력"),"", COUNTIF($AJ$7:$AJ$1013,AJ92))</f>
        <v/>
      </c>
      <c r="AL92" s="320" t="str">
        <f t="shared" ref="AL92:AL94" si="432">IF($AJ92="","",IF($Z92="도비", "OK",IF(AND($Z92="국도비",$AJ92="세입없음"),"OK", IF(AND($Z92="국도비",$AJ92="세입번호입력"),"@@","OK"))))</f>
        <v/>
      </c>
      <c r="AM92" s="320" t="str">
        <f t="shared" ref="AM92:AM94" si="433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20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26" t="str">
        <f>IF(D93="","",COUNTA($C$7:C93)-COUNTBLANK($C$7:C93)+22)</f>
        <v/>
      </c>
      <c r="B93" s="127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27" t="str">
        <f>IF(D93="","",IF(OR(D93="교육지원과",D93="총무과",D93="인사과"),"직접입력",VLOOKUP(D93,구분표!$A$3:$C$258,3,)))</f>
        <v/>
      </c>
      <c r="D93" s="194"/>
      <c r="E93" s="181"/>
      <c r="F93" s="350" t="str">
        <f t="shared" ref="F93:G94" si="434">IF($E93="","",IF($E93="2추","직접입력","-"))</f>
        <v/>
      </c>
      <c r="G93" s="350" t="str">
        <f t="shared" si="434"/>
        <v/>
      </c>
      <c r="H93" s="181"/>
      <c r="I93" s="127" t="str">
        <f>IF(H93="","",VLOOKUP($H93,구분표!$K$3:$M$147,2,FALSE))</f>
        <v/>
      </c>
      <c r="J93" s="127" t="str">
        <f>IF(I93="","",VLOOKUP($H93,구분표!$K$3:$M$147,3,FALSE))</f>
        <v/>
      </c>
      <c r="K93" s="201"/>
      <c r="L93" s="201"/>
      <c r="M93" s="419" t="str">
        <f t="shared" ref="M93:M94" si="435">IF($E93="","",IF(OR($E93="2추", $E93="1추", $E93="본예산"), "금액입력", "-"))</f>
        <v/>
      </c>
      <c r="N93" s="419" t="str">
        <f t="shared" ref="N93:N94" si="436">IF($E93="", "", IF($E93="2추","금액입력", "-"))</f>
        <v/>
      </c>
      <c r="O93" s="421" t="str">
        <f t="shared" si="419"/>
        <v/>
      </c>
      <c r="P93" s="420"/>
      <c r="Q93" s="421">
        <f t="shared" si="420"/>
        <v>0</v>
      </c>
      <c r="R93" s="422"/>
      <c r="S93" s="423">
        <f t="shared" si="421"/>
        <v>0</v>
      </c>
      <c r="T93" s="133" t="str">
        <f t="shared" si="422"/>
        <v>X</v>
      </c>
      <c r="U93" s="198"/>
      <c r="V93" s="192"/>
      <c r="W93" s="185"/>
      <c r="X93" s="202"/>
      <c r="Y93" s="185"/>
      <c r="Z93" s="320" t="str">
        <f t="shared" si="423"/>
        <v/>
      </c>
      <c r="AA93" s="60"/>
      <c r="AB93" s="446" t="str">
        <f t="shared" si="424"/>
        <v/>
      </c>
      <c r="AC93" s="447">
        <f t="shared" si="425"/>
        <v>0</v>
      </c>
      <c r="AD93" s="320" t="str">
        <f t="shared" si="426"/>
        <v>OK</v>
      </c>
      <c r="AE93" s="7"/>
      <c r="AF93" s="462" t="str">
        <f t="shared" si="427"/>
        <v/>
      </c>
      <c r="AG93" s="463">
        <f t="shared" si="428"/>
        <v>0</v>
      </c>
      <c r="AH93" s="343" t="str">
        <f t="shared" si="429"/>
        <v>OK</v>
      </c>
      <c r="AI93" s="7"/>
      <c r="AJ93" s="189" t="str">
        <f t="shared" si="430"/>
        <v/>
      </c>
      <c r="AK93" s="320" t="str">
        <f t="shared" si="431"/>
        <v/>
      </c>
      <c r="AL93" s="320" t="str">
        <f t="shared" si="432"/>
        <v/>
      </c>
      <c r="AM93" s="320" t="str">
        <f t="shared" si="433"/>
        <v/>
      </c>
      <c r="AN93" s="320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26" t="str">
        <f>IF(D94="","",COUNTA($C$7:C94)-COUNTBLANK($C$7:C94)+22)</f>
        <v/>
      </c>
      <c r="B94" s="127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27" t="str">
        <f>IF(D94="","",IF(OR(D94="교육지원과",D94="총무과",D94="인사과"),"직접입력",VLOOKUP(D94,구분표!$A$3:$C$258,3,)))</f>
        <v/>
      </c>
      <c r="D94" s="194"/>
      <c r="E94" s="181"/>
      <c r="F94" s="350" t="str">
        <f t="shared" si="434"/>
        <v/>
      </c>
      <c r="G94" s="350" t="str">
        <f t="shared" si="434"/>
        <v/>
      </c>
      <c r="H94" s="181"/>
      <c r="I94" s="127" t="str">
        <f>IF(H94="","",VLOOKUP($H94,구분표!$K$3:$M$147,2,FALSE))</f>
        <v/>
      </c>
      <c r="J94" s="127" t="str">
        <f>IF(I94="","",VLOOKUP($H94,구분표!$K$3:$M$147,3,FALSE))</f>
        <v/>
      </c>
      <c r="K94" s="201"/>
      <c r="L94" s="201"/>
      <c r="M94" s="419" t="str">
        <f t="shared" si="435"/>
        <v/>
      </c>
      <c r="N94" s="419" t="str">
        <f t="shared" si="436"/>
        <v/>
      </c>
      <c r="O94" s="421" t="str">
        <f t="shared" si="419"/>
        <v/>
      </c>
      <c r="P94" s="420"/>
      <c r="Q94" s="421">
        <f t="shared" si="420"/>
        <v>0</v>
      </c>
      <c r="R94" s="422"/>
      <c r="S94" s="423">
        <f t="shared" si="421"/>
        <v>0</v>
      </c>
      <c r="T94" s="133" t="str">
        <f t="shared" si="422"/>
        <v>X</v>
      </c>
      <c r="U94" s="198"/>
      <c r="V94" s="192"/>
      <c r="W94" s="185"/>
      <c r="X94" s="202"/>
      <c r="Y94" s="185"/>
      <c r="Z94" s="320" t="str">
        <f t="shared" si="423"/>
        <v/>
      </c>
      <c r="AA94" s="60"/>
      <c r="AB94" s="446" t="str">
        <f t="shared" si="424"/>
        <v/>
      </c>
      <c r="AC94" s="447">
        <f t="shared" si="425"/>
        <v>0</v>
      </c>
      <c r="AD94" s="320" t="str">
        <f t="shared" si="426"/>
        <v>OK</v>
      </c>
      <c r="AE94" s="7"/>
      <c r="AF94" s="462" t="str">
        <f t="shared" si="427"/>
        <v/>
      </c>
      <c r="AG94" s="463">
        <f t="shared" si="428"/>
        <v>0</v>
      </c>
      <c r="AH94" s="343" t="str">
        <f t="shared" si="429"/>
        <v>OK</v>
      </c>
      <c r="AI94" s="7"/>
      <c r="AJ94" s="189" t="str">
        <f t="shared" si="430"/>
        <v/>
      </c>
      <c r="AK94" s="320" t="str">
        <f t="shared" si="431"/>
        <v/>
      </c>
      <c r="AL94" s="320" t="str">
        <f t="shared" si="432"/>
        <v/>
      </c>
      <c r="AM94" s="320" t="str">
        <f t="shared" si="433"/>
        <v/>
      </c>
      <c r="AN94" s="320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37"/>
      <c r="B95" s="962" t="s">
        <v>1108</v>
      </c>
      <c r="C95" s="962"/>
      <c r="D95" s="962"/>
      <c r="E95" s="962"/>
      <c r="F95" s="962"/>
      <c r="G95" s="962"/>
      <c r="H95" s="962"/>
      <c r="I95" s="962"/>
      <c r="J95" s="962"/>
      <c r="K95" s="82"/>
      <c r="L95" s="326" t="str">
        <f>SUBTOTAL(3,L96:L98)&amp;"건"</f>
        <v>0건</v>
      </c>
      <c r="M95" s="437">
        <f t="shared" ref="M95:S95" si="437">SUBTOTAL(9,M96:M98)</f>
        <v>0</v>
      </c>
      <c r="N95" s="437">
        <f t="shared" si="437"/>
        <v>0</v>
      </c>
      <c r="O95" s="437">
        <f t="shared" si="437"/>
        <v>0</v>
      </c>
      <c r="P95" s="437">
        <f t="shared" si="437"/>
        <v>0</v>
      </c>
      <c r="Q95" s="437">
        <f t="shared" si="437"/>
        <v>0</v>
      </c>
      <c r="R95" s="437">
        <f t="shared" si="437"/>
        <v>0</v>
      </c>
      <c r="S95" s="437">
        <f t="shared" si="437"/>
        <v>0</v>
      </c>
      <c r="T95" s="81"/>
      <c r="U95" s="83"/>
      <c r="V95" s="83"/>
      <c r="W95" s="84"/>
      <c r="Y95" s="85"/>
      <c r="Z95" s="81"/>
      <c r="AA95" s="43"/>
      <c r="AB95" s="437">
        <f t="shared" ref="AB95:AC95" si="438">SUBTOTAL(9,AB96:AB98)</f>
        <v>0</v>
      </c>
      <c r="AC95" s="437">
        <f t="shared" si="438"/>
        <v>0</v>
      </c>
      <c r="AD95" s="511" t="str">
        <f>IF(COUNTIF(AD96:AD98,"@@")&gt;0,"@@","OK")</f>
        <v>OK</v>
      </c>
      <c r="AE95" s="52"/>
      <c r="AF95" s="437">
        <f t="shared" ref="AF95:AG95" si="439">SUBTOTAL(9,AF96:AF98)</f>
        <v>0</v>
      </c>
      <c r="AG95" s="437">
        <f t="shared" si="439"/>
        <v>0</v>
      </c>
      <c r="AH95" s="511" t="str">
        <f>IF(COUNTIF(AH96:AH98,"@@")&gt;0,"@@","OK")</f>
        <v>OK</v>
      </c>
      <c r="AI95" s="43"/>
      <c r="AJ95" s="80"/>
      <c r="AK95" s="80"/>
      <c r="AL95" s="511" t="str">
        <f>IF(COUNTIF(AL96:AL98,"@@")&gt;0,"@@","OK")</f>
        <v>OK</v>
      </c>
      <c r="AM95" s="80"/>
      <c r="AN95" s="511" t="str">
        <f>IF(COUNTIF(AN96:AN98,"@@")&gt;0,"@@","OK")</f>
        <v>OK</v>
      </c>
    </row>
    <row r="96" spans="1:40" s="19" customFormat="1" ht="80.099999999999994" customHeight="1">
      <c r="A96" s="126" t="str">
        <f>IF(D96="","",COUNTA($C$7:C96)-COUNTBLANK($C$7:C96)+23)</f>
        <v/>
      </c>
      <c r="B96" s="127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27" t="str">
        <f>IF(D96="","",IF(OR(D96="교육지원과",D96="총무과",D96="인사과"),"직접입력",VLOOKUP(D96,구분표!$A$3:$C$258,3,)))</f>
        <v/>
      </c>
      <c r="D96" s="194"/>
      <c r="E96" s="181"/>
      <c r="F96" s="350" t="str">
        <f>IF($E96="","",IF($E96="2추","직접입력","-"))</f>
        <v/>
      </c>
      <c r="G96" s="350" t="str">
        <f>IF($E96="","",IF($E96="2추","직접입력","-"))</f>
        <v/>
      </c>
      <c r="H96" s="181"/>
      <c r="I96" s="127" t="str">
        <f>IF(H96="","",VLOOKUP($H96,구분표!$K$3:$M$147,2,FALSE))</f>
        <v/>
      </c>
      <c r="J96" s="127" t="str">
        <f>IF(I96="","",VLOOKUP($H96,구분표!$K$3:$M$147,3,FALSE))</f>
        <v/>
      </c>
      <c r="K96" s="201"/>
      <c r="L96" s="201"/>
      <c r="M96" s="419" t="str">
        <f>IF($E96="","",IF(OR($E96="2추", $E96="1추", $E96="본예산"), "금액입력", "-"))</f>
        <v/>
      </c>
      <c r="N96" s="419" t="str">
        <f>IF($E96="", "", IF($E96="2추","금액입력", "-"))</f>
        <v/>
      </c>
      <c r="O96" s="421" t="str">
        <f t="shared" ref="O96:O98" si="440">IF($E96="","",SUM(M96:N96))</f>
        <v/>
      </c>
      <c r="P96" s="420"/>
      <c r="Q96" s="421">
        <f t="shared" ref="Q96:Q98" si="441">SUM(O96:P96)</f>
        <v>0</v>
      </c>
      <c r="R96" s="422"/>
      <c r="S96" s="423">
        <f t="shared" ref="S96:S98" si="442">SUM(O96,R96)</f>
        <v>0</v>
      </c>
      <c r="T96" s="133" t="str">
        <f t="shared" ref="T96:T98" si="443">IF(AND((Q96=0),(S96&gt;0)),"O",IF(AND((P96&lt;0),(Q96-S96&lt;0)),"O","X"))</f>
        <v>X</v>
      </c>
      <c r="U96" s="198"/>
      <c r="V96" s="192"/>
      <c r="W96" s="185"/>
      <c r="X96" s="202"/>
      <c r="Y96" s="185"/>
      <c r="Z96" s="320" t="str">
        <f t="shared" ref="Z96:Z98" si="444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46" t="str">
        <f t="shared" ref="AB96:AB98" si="445">IF($Z96="","",IF($Z96="국도비","금액입력",0))</f>
        <v/>
      </c>
      <c r="AC96" s="447">
        <f t="shared" ref="AC96:AC98" si="446">IFERROR(P96-AB96,0)</f>
        <v>0</v>
      </c>
      <c r="AD96" s="320" t="str">
        <f t="shared" ref="AD96:AD98" si="447">IF($P96=SUM($AB96:$AC96),"OK","@@")</f>
        <v>OK</v>
      </c>
      <c r="AE96" s="7"/>
      <c r="AF96" s="462" t="str">
        <f t="shared" ref="AF96:AF98" si="448">IF($Z96="","",IF($Z96="국도비","금액입력",0))</f>
        <v/>
      </c>
      <c r="AG96" s="463">
        <f t="shared" ref="AG96:AG98" si="449">IFERROR(R96-AF96,0)</f>
        <v>0</v>
      </c>
      <c r="AH96" s="343" t="str">
        <f t="shared" ref="AH96:AH98" si="450">IF($R96=SUM($AF96:$AG96),"OK","@@")</f>
        <v>OK</v>
      </c>
      <c r="AI96" s="7"/>
      <c r="AJ96" s="189" t="str">
        <f t="shared" ref="AJ96:AJ98" si="451">IF($Z96="","",IF($Z96="도비","-","세입번호입력"))</f>
        <v/>
      </c>
      <c r="AK96" s="320" t="str">
        <f t="shared" ref="AK96:AK98" si="452">IF(OR(AJ96="",AJ96="-",AJ96="세입번호입력"),"", COUNTIF($AJ$7:$AJ$1013,AJ96))</f>
        <v/>
      </c>
      <c r="AL96" s="320" t="str">
        <f t="shared" ref="AL96:AL98" si="453">IF($AJ96="","",IF($Z96="도비", "OK",IF(AND($Z96="국도비",$AJ96="세입없음"),"OK", IF(AND($Z96="국도비",$AJ96="세입번호입력"),"@@","OK"))))</f>
        <v/>
      </c>
      <c r="AM96" s="320" t="str">
        <f t="shared" ref="AM96:AM98" si="454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20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26" t="str">
        <f>IF(D97="","",COUNTA($C$7:C97)-COUNTBLANK($C$7:C97)+23)</f>
        <v/>
      </c>
      <c r="B97" s="127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27" t="str">
        <f>IF(D97="","",IF(OR(D97="교육지원과",D97="총무과",D97="인사과"),"직접입력",VLOOKUP(D97,구분표!$A$3:$C$258,3,)))</f>
        <v/>
      </c>
      <c r="D97" s="194"/>
      <c r="E97" s="181"/>
      <c r="F97" s="350" t="str">
        <f t="shared" ref="F97:G98" si="455">IF($E97="","",IF($E97="2추","직접입력","-"))</f>
        <v/>
      </c>
      <c r="G97" s="350" t="str">
        <f t="shared" si="455"/>
        <v/>
      </c>
      <c r="H97" s="181"/>
      <c r="I97" s="127" t="str">
        <f>IF(H97="","",VLOOKUP($H97,구분표!$K$3:$M$147,2,FALSE))</f>
        <v/>
      </c>
      <c r="J97" s="127" t="str">
        <f>IF(I97="","",VLOOKUP($H97,구분표!$K$3:$M$147,3,FALSE))</f>
        <v/>
      </c>
      <c r="K97" s="201"/>
      <c r="L97" s="201"/>
      <c r="M97" s="419" t="str">
        <f t="shared" ref="M97:M98" si="456">IF($E97="","",IF(OR($E97="2추", $E97="1추", $E97="본예산"), "금액입력", "-"))</f>
        <v/>
      </c>
      <c r="N97" s="419" t="str">
        <f t="shared" ref="N97:N98" si="457">IF($E97="", "", IF($E97="2추","금액입력", "-"))</f>
        <v/>
      </c>
      <c r="O97" s="421" t="str">
        <f t="shared" si="440"/>
        <v/>
      </c>
      <c r="P97" s="420"/>
      <c r="Q97" s="421">
        <f t="shared" si="441"/>
        <v>0</v>
      </c>
      <c r="R97" s="422"/>
      <c r="S97" s="423">
        <f t="shared" si="442"/>
        <v>0</v>
      </c>
      <c r="T97" s="133" t="str">
        <f t="shared" si="443"/>
        <v>X</v>
      </c>
      <c r="U97" s="198"/>
      <c r="V97" s="192"/>
      <c r="W97" s="185"/>
      <c r="X97" s="202"/>
      <c r="Y97" s="185"/>
      <c r="Z97" s="320" t="str">
        <f t="shared" si="444"/>
        <v/>
      </c>
      <c r="AA97" s="60"/>
      <c r="AB97" s="446" t="str">
        <f t="shared" si="445"/>
        <v/>
      </c>
      <c r="AC97" s="447">
        <f t="shared" si="446"/>
        <v>0</v>
      </c>
      <c r="AD97" s="320" t="str">
        <f t="shared" si="447"/>
        <v>OK</v>
      </c>
      <c r="AE97" s="7"/>
      <c r="AF97" s="462" t="str">
        <f t="shared" si="448"/>
        <v/>
      </c>
      <c r="AG97" s="463">
        <f t="shared" si="449"/>
        <v>0</v>
      </c>
      <c r="AH97" s="343" t="str">
        <f t="shared" si="450"/>
        <v>OK</v>
      </c>
      <c r="AI97" s="7"/>
      <c r="AJ97" s="189" t="str">
        <f t="shared" si="451"/>
        <v/>
      </c>
      <c r="AK97" s="320" t="str">
        <f t="shared" si="452"/>
        <v/>
      </c>
      <c r="AL97" s="320" t="str">
        <f t="shared" si="453"/>
        <v/>
      </c>
      <c r="AM97" s="320" t="str">
        <f t="shared" si="454"/>
        <v/>
      </c>
      <c r="AN97" s="320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26" t="str">
        <f>IF(D98="","",COUNTA($C$7:C98)-COUNTBLANK($C$7:C98)+23)</f>
        <v/>
      </c>
      <c r="B98" s="127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27" t="str">
        <f>IF(D98="","",IF(OR(D98="교육지원과",D98="총무과",D98="인사과"),"직접입력",VLOOKUP(D98,구분표!$A$3:$C$258,3,)))</f>
        <v/>
      </c>
      <c r="D98" s="194"/>
      <c r="E98" s="181"/>
      <c r="F98" s="350" t="str">
        <f t="shared" si="455"/>
        <v/>
      </c>
      <c r="G98" s="350" t="str">
        <f t="shared" si="455"/>
        <v/>
      </c>
      <c r="H98" s="181"/>
      <c r="I98" s="127" t="str">
        <f>IF(H98="","",VLOOKUP($H98,구분표!$K$3:$M$147,2,FALSE))</f>
        <v/>
      </c>
      <c r="J98" s="127" t="str">
        <f>IF(I98="","",VLOOKUP($H98,구분표!$K$3:$M$147,3,FALSE))</f>
        <v/>
      </c>
      <c r="K98" s="201"/>
      <c r="L98" s="201"/>
      <c r="M98" s="419" t="str">
        <f t="shared" si="456"/>
        <v/>
      </c>
      <c r="N98" s="419" t="str">
        <f t="shared" si="457"/>
        <v/>
      </c>
      <c r="O98" s="421" t="str">
        <f t="shared" si="440"/>
        <v/>
      </c>
      <c r="P98" s="420"/>
      <c r="Q98" s="421">
        <f t="shared" si="441"/>
        <v>0</v>
      </c>
      <c r="R98" s="422"/>
      <c r="S98" s="423">
        <f t="shared" si="442"/>
        <v>0</v>
      </c>
      <c r="T98" s="133" t="str">
        <f t="shared" si="443"/>
        <v>X</v>
      </c>
      <c r="U98" s="198"/>
      <c r="V98" s="192"/>
      <c r="W98" s="185"/>
      <c r="X98" s="202"/>
      <c r="Y98" s="185"/>
      <c r="Z98" s="320" t="str">
        <f t="shared" si="444"/>
        <v/>
      </c>
      <c r="AA98" s="60"/>
      <c r="AB98" s="446" t="str">
        <f t="shared" si="445"/>
        <v/>
      </c>
      <c r="AC98" s="447">
        <f t="shared" si="446"/>
        <v>0</v>
      </c>
      <c r="AD98" s="320" t="str">
        <f t="shared" si="447"/>
        <v>OK</v>
      </c>
      <c r="AE98" s="7"/>
      <c r="AF98" s="462" t="str">
        <f t="shared" si="448"/>
        <v/>
      </c>
      <c r="AG98" s="463">
        <f t="shared" si="449"/>
        <v>0</v>
      </c>
      <c r="AH98" s="343" t="str">
        <f t="shared" si="450"/>
        <v>OK</v>
      </c>
      <c r="AI98" s="7"/>
      <c r="AJ98" s="189" t="str">
        <f t="shared" si="451"/>
        <v/>
      </c>
      <c r="AK98" s="320" t="str">
        <f t="shared" si="452"/>
        <v/>
      </c>
      <c r="AL98" s="320" t="str">
        <f t="shared" si="453"/>
        <v/>
      </c>
      <c r="AM98" s="320" t="str">
        <f t="shared" si="454"/>
        <v/>
      </c>
      <c r="AN98" s="320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37"/>
      <c r="B99" s="962" t="s">
        <v>796</v>
      </c>
      <c r="C99" s="962"/>
      <c r="D99" s="962"/>
      <c r="E99" s="962"/>
      <c r="F99" s="962"/>
      <c r="G99" s="962"/>
      <c r="H99" s="962"/>
      <c r="I99" s="962"/>
      <c r="J99" s="962"/>
      <c r="K99" s="82"/>
      <c r="L99" s="326" t="str">
        <f>SUBTOTAL(3,L100:L102)&amp;"건"</f>
        <v>0건</v>
      </c>
      <c r="M99" s="437">
        <f>SUBTOTAL(9,M100:M102)</f>
        <v>0</v>
      </c>
      <c r="N99" s="437">
        <f t="shared" ref="N99:S99" si="458">SUBTOTAL(9,N100:N102)</f>
        <v>0</v>
      </c>
      <c r="O99" s="437">
        <f t="shared" si="458"/>
        <v>0</v>
      </c>
      <c r="P99" s="437">
        <f t="shared" si="458"/>
        <v>0</v>
      </c>
      <c r="Q99" s="437">
        <f t="shared" si="458"/>
        <v>0</v>
      </c>
      <c r="R99" s="437">
        <f t="shared" si="458"/>
        <v>0</v>
      </c>
      <c r="S99" s="437">
        <f t="shared" si="458"/>
        <v>0</v>
      </c>
      <c r="T99" s="81"/>
      <c r="U99" s="83"/>
      <c r="V99" s="83"/>
      <c r="W99" s="84"/>
      <c r="Y99" s="85"/>
      <c r="Z99" s="81"/>
      <c r="AA99" s="43"/>
      <c r="AB99" s="437">
        <f t="shared" ref="AB99:AC99" si="459">SUBTOTAL(9,AB100:AB102)</f>
        <v>0</v>
      </c>
      <c r="AC99" s="437">
        <f t="shared" si="459"/>
        <v>0</v>
      </c>
      <c r="AD99" s="511" t="str">
        <f>IF(COUNTIF(AD100:AD102,"@@")&gt;0,"@@","OK")</f>
        <v>OK</v>
      </c>
      <c r="AE99" s="52"/>
      <c r="AF99" s="437">
        <f t="shared" ref="AF99:AG99" si="460">SUBTOTAL(9,AF100:AF102)</f>
        <v>0</v>
      </c>
      <c r="AG99" s="437">
        <f t="shared" si="460"/>
        <v>0</v>
      </c>
      <c r="AH99" s="511" t="str">
        <f>IF(COUNTIF(AH100:AH102,"@@")&gt;0,"@@","OK")</f>
        <v>OK</v>
      </c>
      <c r="AI99" s="43"/>
      <c r="AJ99" s="80"/>
      <c r="AK99" s="80"/>
      <c r="AL99" s="511" t="str">
        <f>IF(COUNTIF(AL100:AL102,"@@")&gt;0,"@@","OK")</f>
        <v>OK</v>
      </c>
      <c r="AM99" s="80"/>
      <c r="AN99" s="511" t="str">
        <f>IF(COUNTIF(AN100:AN102,"@@")&gt;0,"@@","OK")</f>
        <v>OK</v>
      </c>
    </row>
    <row r="100" spans="1:40" s="19" customFormat="1" ht="80.099999999999994" customHeight="1">
      <c r="A100" s="126" t="str">
        <f>IF(D100="","",COUNTA($C$7:C100)-COUNTBLANK($C$7:C100)+24)</f>
        <v/>
      </c>
      <c r="B100" s="127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27" t="str">
        <f>IF(D100="","",IF(OR(D100="교육지원과",D100="총무과",D100="인사과"),"직접입력",VLOOKUP(D100,구분표!$A$3:$C$258,3,)))</f>
        <v/>
      </c>
      <c r="D100" s="194"/>
      <c r="E100" s="181"/>
      <c r="F100" s="350" t="str">
        <f>IF($E100="","",IF($E100="2추","직접입력","-"))</f>
        <v/>
      </c>
      <c r="G100" s="350" t="str">
        <f>IF($E100="","",IF($E100="2추","직접입력","-"))</f>
        <v/>
      </c>
      <c r="H100" s="181"/>
      <c r="I100" s="127" t="str">
        <f>IF(H100="","",VLOOKUP($H100,구분표!$K$3:$M$147,2,FALSE))</f>
        <v/>
      </c>
      <c r="J100" s="127" t="str">
        <f>IF(I100="","",VLOOKUP($H100,구분표!$K$3:$M$147,3,FALSE))</f>
        <v/>
      </c>
      <c r="K100" s="201"/>
      <c r="L100" s="201"/>
      <c r="M100" s="419" t="str">
        <f>IF($E100="","",IF(OR($E100="2추", $E100="1추", $E100="본예산"), "금액입력", "-"))</f>
        <v/>
      </c>
      <c r="N100" s="419" t="str">
        <f>IF($E100="", "", IF($E100="2추","금액입력", "-"))</f>
        <v/>
      </c>
      <c r="O100" s="421" t="str">
        <f t="shared" ref="O100:O102" si="461">IF($E100="","",SUM(M100:N100))</f>
        <v/>
      </c>
      <c r="P100" s="420"/>
      <c r="Q100" s="421">
        <f t="shared" ref="Q100:Q102" si="462">SUM(O100:P100)</f>
        <v>0</v>
      </c>
      <c r="R100" s="422"/>
      <c r="S100" s="423">
        <f t="shared" ref="S100:S102" si="463">SUM(O100,R100)</f>
        <v>0</v>
      </c>
      <c r="T100" s="133" t="str">
        <f t="shared" ref="T100:T102" si="464">IF(AND((Q100=0),(S100&gt;0)),"O",IF(AND((P100&lt;0),(Q100-S100&lt;0)),"O","X"))</f>
        <v>X</v>
      </c>
      <c r="U100" s="198"/>
      <c r="V100" s="192"/>
      <c r="W100" s="185"/>
      <c r="X100" s="202"/>
      <c r="Y100" s="185"/>
      <c r="Z100" s="320" t="str">
        <f t="shared" ref="Z100:Z102" si="465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46" t="str">
        <f t="shared" ref="AB100:AB102" si="466">IF($Z100="","",IF($Z100="국도비","금액입력",0))</f>
        <v/>
      </c>
      <c r="AC100" s="447">
        <f t="shared" ref="AC100:AC102" si="467">IFERROR(P100-AB100,0)</f>
        <v>0</v>
      </c>
      <c r="AD100" s="320" t="str">
        <f t="shared" ref="AD100:AD102" si="468">IF($P100=SUM($AB100:$AC100),"OK","@@")</f>
        <v>OK</v>
      </c>
      <c r="AE100" s="7"/>
      <c r="AF100" s="462" t="str">
        <f t="shared" ref="AF100:AF102" si="469">IF($Z100="","",IF($Z100="국도비","금액입력",0))</f>
        <v/>
      </c>
      <c r="AG100" s="463">
        <f t="shared" ref="AG100:AG102" si="470">IFERROR(R100-AF100,0)</f>
        <v>0</v>
      </c>
      <c r="AH100" s="343" t="str">
        <f t="shared" ref="AH100:AH102" si="471">IF($R100=SUM($AF100:$AG100),"OK","@@")</f>
        <v>OK</v>
      </c>
      <c r="AI100" s="7"/>
      <c r="AJ100" s="189" t="str">
        <f t="shared" ref="AJ100:AJ102" si="472">IF($Z100="","",IF($Z100="도비","-","세입번호입력"))</f>
        <v/>
      </c>
      <c r="AK100" s="320" t="str">
        <f t="shared" ref="AK100:AK102" si="473">IF(OR(AJ100="",AJ100="-",AJ100="세입번호입력"),"", COUNTIF($AJ$7:$AJ$1013,AJ100))</f>
        <v/>
      </c>
      <c r="AL100" s="320" t="str">
        <f t="shared" ref="AL100:AL102" si="474">IF($AJ100="","",IF($Z100="도비", "OK",IF(AND($Z100="국도비",$AJ100="세입없음"),"OK", IF(AND($Z100="국도비",$AJ100="세입번호입력"),"@@","OK"))))</f>
        <v/>
      </c>
      <c r="AM100" s="320" t="str">
        <f t="shared" ref="AM100:AM102" si="475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20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26" t="str">
        <f>IF(D101="","",COUNTA($C$7:C101)-COUNTBLANK($C$7:C101)+24)</f>
        <v/>
      </c>
      <c r="B101" s="127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27" t="str">
        <f>IF(D101="","",IF(OR(D101="교육지원과",D101="총무과",D101="인사과"),"직접입력",VLOOKUP(D101,구분표!$A$3:$C$258,3,)))</f>
        <v/>
      </c>
      <c r="D101" s="194"/>
      <c r="E101" s="181"/>
      <c r="F101" s="350" t="str">
        <f t="shared" ref="F101:G102" si="476">IF($E101="","",IF($E101="2추","직접입력","-"))</f>
        <v/>
      </c>
      <c r="G101" s="350" t="str">
        <f t="shared" si="476"/>
        <v/>
      </c>
      <c r="H101" s="181"/>
      <c r="I101" s="127" t="str">
        <f>IF(H101="","",VLOOKUP($H101,구분표!$K$3:$M$147,2,FALSE))</f>
        <v/>
      </c>
      <c r="J101" s="127" t="str">
        <f>IF(I101="","",VLOOKUP($H101,구분표!$K$3:$M$147,3,FALSE))</f>
        <v/>
      </c>
      <c r="K101" s="201"/>
      <c r="L101" s="201"/>
      <c r="M101" s="419" t="str">
        <f t="shared" ref="M101:M102" si="477">IF($E101="","",IF(OR($E101="2추", $E101="1추", $E101="본예산"), "금액입력", "-"))</f>
        <v/>
      </c>
      <c r="N101" s="419" t="str">
        <f t="shared" ref="N101:N102" si="478">IF($E101="", "", IF($E101="2추","금액입력", "-"))</f>
        <v/>
      </c>
      <c r="O101" s="421" t="str">
        <f t="shared" si="461"/>
        <v/>
      </c>
      <c r="P101" s="420"/>
      <c r="Q101" s="421">
        <f t="shared" si="462"/>
        <v>0</v>
      </c>
      <c r="R101" s="422"/>
      <c r="S101" s="423">
        <f t="shared" si="463"/>
        <v>0</v>
      </c>
      <c r="T101" s="133" t="str">
        <f t="shared" si="464"/>
        <v>X</v>
      </c>
      <c r="U101" s="198"/>
      <c r="V101" s="192"/>
      <c r="W101" s="185"/>
      <c r="X101" s="202"/>
      <c r="Y101" s="185"/>
      <c r="Z101" s="320" t="str">
        <f t="shared" si="465"/>
        <v/>
      </c>
      <c r="AA101" s="60"/>
      <c r="AB101" s="446" t="str">
        <f t="shared" si="466"/>
        <v/>
      </c>
      <c r="AC101" s="447">
        <f t="shared" si="467"/>
        <v>0</v>
      </c>
      <c r="AD101" s="320" t="str">
        <f t="shared" si="468"/>
        <v>OK</v>
      </c>
      <c r="AE101" s="7"/>
      <c r="AF101" s="462" t="str">
        <f t="shared" si="469"/>
        <v/>
      </c>
      <c r="AG101" s="463">
        <f t="shared" si="470"/>
        <v>0</v>
      </c>
      <c r="AH101" s="343" t="str">
        <f t="shared" si="471"/>
        <v>OK</v>
      </c>
      <c r="AI101" s="7"/>
      <c r="AJ101" s="189" t="str">
        <f t="shared" si="472"/>
        <v/>
      </c>
      <c r="AK101" s="320" t="str">
        <f t="shared" si="473"/>
        <v/>
      </c>
      <c r="AL101" s="320" t="str">
        <f t="shared" si="474"/>
        <v/>
      </c>
      <c r="AM101" s="320" t="str">
        <f t="shared" si="475"/>
        <v/>
      </c>
      <c r="AN101" s="320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26" t="str">
        <f>IF(D102="","",COUNTA($C$7:C102)-COUNTBLANK($C$7:C102)+24)</f>
        <v/>
      </c>
      <c r="B102" s="127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27" t="str">
        <f>IF(D102="","",IF(OR(D102="교육지원과",D102="총무과",D102="인사과"),"직접입력",VLOOKUP(D102,구분표!$A$3:$C$258,3,)))</f>
        <v/>
      </c>
      <c r="D102" s="194"/>
      <c r="E102" s="181"/>
      <c r="F102" s="350" t="str">
        <f t="shared" si="476"/>
        <v/>
      </c>
      <c r="G102" s="350" t="str">
        <f t="shared" si="476"/>
        <v/>
      </c>
      <c r="H102" s="181"/>
      <c r="I102" s="127" t="str">
        <f>IF(H102="","",VLOOKUP($H102,구분표!$K$3:$M$147,2,FALSE))</f>
        <v/>
      </c>
      <c r="J102" s="127" t="str">
        <f>IF(I102="","",VLOOKUP($H102,구분표!$K$3:$M$147,3,FALSE))</f>
        <v/>
      </c>
      <c r="K102" s="201"/>
      <c r="L102" s="201"/>
      <c r="M102" s="419" t="str">
        <f t="shared" si="477"/>
        <v/>
      </c>
      <c r="N102" s="419" t="str">
        <f t="shared" si="478"/>
        <v/>
      </c>
      <c r="O102" s="421" t="str">
        <f t="shared" si="461"/>
        <v/>
      </c>
      <c r="P102" s="420"/>
      <c r="Q102" s="421">
        <f t="shared" si="462"/>
        <v>0</v>
      </c>
      <c r="R102" s="422"/>
      <c r="S102" s="423">
        <f t="shared" si="463"/>
        <v>0</v>
      </c>
      <c r="T102" s="133" t="str">
        <f t="shared" si="464"/>
        <v>X</v>
      </c>
      <c r="U102" s="198"/>
      <c r="V102" s="192"/>
      <c r="W102" s="185"/>
      <c r="X102" s="202"/>
      <c r="Y102" s="185"/>
      <c r="Z102" s="320" t="str">
        <f t="shared" si="465"/>
        <v/>
      </c>
      <c r="AA102" s="60"/>
      <c r="AB102" s="446" t="str">
        <f t="shared" si="466"/>
        <v/>
      </c>
      <c r="AC102" s="447">
        <f t="shared" si="467"/>
        <v>0</v>
      </c>
      <c r="AD102" s="320" t="str">
        <f t="shared" si="468"/>
        <v>OK</v>
      </c>
      <c r="AE102" s="7"/>
      <c r="AF102" s="462" t="str">
        <f t="shared" si="469"/>
        <v/>
      </c>
      <c r="AG102" s="463">
        <f t="shared" si="470"/>
        <v>0</v>
      </c>
      <c r="AH102" s="343" t="str">
        <f t="shared" si="471"/>
        <v>OK</v>
      </c>
      <c r="AI102" s="7"/>
      <c r="AJ102" s="189" t="str">
        <f t="shared" si="472"/>
        <v/>
      </c>
      <c r="AK102" s="320" t="str">
        <f t="shared" si="473"/>
        <v/>
      </c>
      <c r="AL102" s="320" t="str">
        <f t="shared" si="474"/>
        <v/>
      </c>
      <c r="AM102" s="320" t="str">
        <f t="shared" si="475"/>
        <v/>
      </c>
      <c r="AN102" s="320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37"/>
      <c r="B103" s="962" t="s">
        <v>797</v>
      </c>
      <c r="C103" s="962"/>
      <c r="D103" s="962"/>
      <c r="E103" s="962"/>
      <c r="F103" s="962"/>
      <c r="G103" s="962"/>
      <c r="H103" s="962"/>
      <c r="I103" s="962"/>
      <c r="J103" s="962"/>
      <c r="K103" s="82"/>
      <c r="L103" s="326" t="str">
        <f>SUBTOTAL(3,L104:L106)&amp;"건"</f>
        <v>0건</v>
      </c>
      <c r="M103" s="437">
        <f t="shared" ref="M103:S103" si="479">SUBTOTAL(9,M104:M106)</f>
        <v>0</v>
      </c>
      <c r="N103" s="437">
        <f t="shared" si="479"/>
        <v>0</v>
      </c>
      <c r="O103" s="437">
        <f t="shared" si="479"/>
        <v>0</v>
      </c>
      <c r="P103" s="437">
        <f t="shared" si="479"/>
        <v>0</v>
      </c>
      <c r="Q103" s="437">
        <f t="shared" si="479"/>
        <v>0</v>
      </c>
      <c r="R103" s="437">
        <f t="shared" si="479"/>
        <v>0</v>
      </c>
      <c r="S103" s="437">
        <f t="shared" si="479"/>
        <v>0</v>
      </c>
      <c r="T103" s="81"/>
      <c r="U103" s="83"/>
      <c r="V103" s="83"/>
      <c r="W103" s="84"/>
      <c r="Y103" s="85"/>
      <c r="Z103" s="81"/>
      <c r="AA103" s="43"/>
      <c r="AB103" s="437">
        <f t="shared" ref="AB103:AC103" si="480">SUBTOTAL(9,AB104:AB106)</f>
        <v>0</v>
      </c>
      <c r="AC103" s="437">
        <f t="shared" si="480"/>
        <v>0</v>
      </c>
      <c r="AD103" s="511" t="str">
        <f>IF(COUNTIF(AD104:AD106,"@@")&gt;0,"@@","OK")</f>
        <v>OK</v>
      </c>
      <c r="AE103" s="52"/>
      <c r="AF103" s="437">
        <f t="shared" ref="AF103:AG103" si="481">SUBTOTAL(9,AF104:AF106)</f>
        <v>0</v>
      </c>
      <c r="AG103" s="437">
        <f t="shared" si="481"/>
        <v>0</v>
      </c>
      <c r="AH103" s="511" t="str">
        <f>IF(COUNTIF(AH104:AH106,"@@")&gt;0,"@@","OK")</f>
        <v>OK</v>
      </c>
      <c r="AI103" s="43"/>
      <c r="AJ103" s="80"/>
      <c r="AK103" s="80"/>
      <c r="AL103" s="511" t="str">
        <f>IF(COUNTIF(AL104:AL106,"@@")&gt;0,"@@","OK")</f>
        <v>OK</v>
      </c>
      <c r="AM103" s="80"/>
      <c r="AN103" s="511" t="str">
        <f>IF(COUNTIF(AN104:AN106,"@@")&gt;0,"@@","OK")</f>
        <v>OK</v>
      </c>
    </row>
    <row r="104" spans="1:40" s="19" customFormat="1" ht="80.099999999999994" customHeight="1">
      <c r="A104" s="126" t="str">
        <f>IF(D104="","",COUNTA($C$7:C104)-COUNTBLANK($C$7:C104)+25)</f>
        <v/>
      </c>
      <c r="B104" s="127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27" t="str">
        <f>IF(D104="","",IF(OR(D104="교육지원과",D104="총무과",D104="인사과"),"직접입력",VLOOKUP(D104,구분표!$A$3:$C$258,3,)))</f>
        <v/>
      </c>
      <c r="D104" s="194"/>
      <c r="E104" s="181"/>
      <c r="F104" s="350" t="str">
        <f>IF($E104="","",IF($E104="2추","직접입력","-"))</f>
        <v/>
      </c>
      <c r="G104" s="350" t="str">
        <f>IF($E104="","",IF($E104="2추","직접입력","-"))</f>
        <v/>
      </c>
      <c r="H104" s="181"/>
      <c r="I104" s="127" t="str">
        <f>IF(H104="","",VLOOKUP($H104,구분표!$K$3:$M$147,2,FALSE))</f>
        <v/>
      </c>
      <c r="J104" s="127" t="str">
        <f>IF(I104="","",VLOOKUP($H104,구분표!$K$3:$M$147,3,FALSE))</f>
        <v/>
      </c>
      <c r="K104" s="201"/>
      <c r="L104" s="201"/>
      <c r="M104" s="419" t="str">
        <f>IF($E104="","",IF(OR($E104="2추", $E104="1추", $E104="본예산"), "금액입력", "-"))</f>
        <v/>
      </c>
      <c r="N104" s="419" t="str">
        <f>IF($E104="", "", IF($E104="2추","금액입력", "-"))</f>
        <v/>
      </c>
      <c r="O104" s="421" t="str">
        <f t="shared" ref="O104:O106" si="482">IF($E104="","",SUM(M104:N104))</f>
        <v/>
      </c>
      <c r="P104" s="420"/>
      <c r="Q104" s="421">
        <f t="shared" ref="Q104:Q106" si="483">SUM(O104:P104)</f>
        <v>0</v>
      </c>
      <c r="R104" s="422"/>
      <c r="S104" s="423">
        <f t="shared" ref="S104:S106" si="484">SUM(O104,R104)</f>
        <v>0</v>
      </c>
      <c r="T104" s="133" t="str">
        <f t="shared" ref="T104:T106" si="485">IF(AND((Q104=0),(S104&gt;0)),"O",IF(AND((P104&lt;0),(Q104-S104&lt;0)),"O","X"))</f>
        <v>X</v>
      </c>
      <c r="U104" s="198"/>
      <c r="V104" s="192"/>
      <c r="W104" s="185"/>
      <c r="X104" s="202"/>
      <c r="Y104" s="185"/>
      <c r="Z104" s="320" t="str">
        <f t="shared" ref="Z104:Z106" si="486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46" t="str">
        <f t="shared" ref="AB104:AB106" si="487">IF($Z104="","",IF($Z104="국도비","금액입력",0))</f>
        <v/>
      </c>
      <c r="AC104" s="447">
        <f t="shared" ref="AC104:AC106" si="488">IFERROR(P104-AB104,0)</f>
        <v>0</v>
      </c>
      <c r="AD104" s="320" t="str">
        <f t="shared" ref="AD104:AD106" si="489">IF($P104=SUM($AB104:$AC104),"OK","@@")</f>
        <v>OK</v>
      </c>
      <c r="AE104" s="7"/>
      <c r="AF104" s="462" t="str">
        <f t="shared" ref="AF104:AF106" si="490">IF($Z104="","",IF($Z104="국도비","금액입력",0))</f>
        <v/>
      </c>
      <c r="AG104" s="463">
        <f t="shared" ref="AG104:AG106" si="491">IFERROR(R104-AF104,0)</f>
        <v>0</v>
      </c>
      <c r="AH104" s="343" t="str">
        <f t="shared" ref="AH104:AH106" si="492">IF($R104=SUM($AF104:$AG104),"OK","@@")</f>
        <v>OK</v>
      </c>
      <c r="AI104" s="7"/>
      <c r="AJ104" s="189" t="str">
        <f t="shared" ref="AJ104:AJ106" si="493">IF($Z104="","",IF($Z104="도비","-","세입번호입력"))</f>
        <v/>
      </c>
      <c r="AK104" s="320" t="str">
        <f t="shared" ref="AK104:AK106" si="494">IF(OR(AJ104="",AJ104="-",AJ104="세입번호입력"),"", COUNTIF($AJ$7:$AJ$1013,AJ104))</f>
        <v/>
      </c>
      <c r="AL104" s="320" t="str">
        <f t="shared" ref="AL104:AL106" si="495">IF($AJ104="","",IF($Z104="도비", "OK",IF(AND($Z104="국도비",$AJ104="세입없음"),"OK", IF(AND($Z104="국도비",$AJ104="세입번호입력"),"@@","OK"))))</f>
        <v/>
      </c>
      <c r="AM104" s="320" t="str">
        <f t="shared" ref="AM104:AM106" si="496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20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26" t="str">
        <f>IF(D105="","",COUNTA($C$7:C105)-COUNTBLANK($C$7:C105)+25)</f>
        <v/>
      </c>
      <c r="B105" s="127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27" t="str">
        <f>IF(D105="","",IF(OR(D105="교육지원과",D105="총무과",D105="인사과"),"직접입력",VLOOKUP(D105,구분표!$A$3:$C$258,3,)))</f>
        <v/>
      </c>
      <c r="D105" s="194"/>
      <c r="E105" s="181"/>
      <c r="F105" s="350" t="str">
        <f t="shared" ref="F105:G106" si="497">IF($E105="","",IF($E105="2추","직접입력","-"))</f>
        <v/>
      </c>
      <c r="G105" s="350" t="str">
        <f t="shared" si="497"/>
        <v/>
      </c>
      <c r="H105" s="181"/>
      <c r="I105" s="127" t="str">
        <f>IF(H105="","",VLOOKUP($H105,구분표!$K$3:$M$147,2,FALSE))</f>
        <v/>
      </c>
      <c r="J105" s="127" t="str">
        <f>IF(I105="","",VLOOKUP($H105,구분표!$K$3:$M$147,3,FALSE))</f>
        <v/>
      </c>
      <c r="K105" s="201"/>
      <c r="L105" s="201"/>
      <c r="M105" s="419" t="str">
        <f t="shared" ref="M105:M106" si="498">IF($E105="","",IF(OR($E105="2추", $E105="1추", $E105="본예산"), "금액입력", "-"))</f>
        <v/>
      </c>
      <c r="N105" s="419" t="str">
        <f t="shared" ref="N105:N106" si="499">IF($E105="", "", IF($E105="2추","금액입력", "-"))</f>
        <v/>
      </c>
      <c r="O105" s="421" t="str">
        <f t="shared" si="482"/>
        <v/>
      </c>
      <c r="P105" s="420"/>
      <c r="Q105" s="421">
        <f t="shared" si="483"/>
        <v>0</v>
      </c>
      <c r="R105" s="422"/>
      <c r="S105" s="423">
        <f t="shared" si="484"/>
        <v>0</v>
      </c>
      <c r="T105" s="133" t="str">
        <f t="shared" si="485"/>
        <v>X</v>
      </c>
      <c r="U105" s="198"/>
      <c r="V105" s="192"/>
      <c r="W105" s="185"/>
      <c r="X105" s="202"/>
      <c r="Y105" s="185"/>
      <c r="Z105" s="320" t="str">
        <f t="shared" si="486"/>
        <v/>
      </c>
      <c r="AA105" s="60"/>
      <c r="AB105" s="446" t="str">
        <f t="shared" si="487"/>
        <v/>
      </c>
      <c r="AC105" s="447">
        <f t="shared" si="488"/>
        <v>0</v>
      </c>
      <c r="AD105" s="320" t="str">
        <f t="shared" si="489"/>
        <v>OK</v>
      </c>
      <c r="AE105" s="7"/>
      <c r="AF105" s="462" t="str">
        <f t="shared" si="490"/>
        <v/>
      </c>
      <c r="AG105" s="463">
        <f t="shared" si="491"/>
        <v>0</v>
      </c>
      <c r="AH105" s="343" t="str">
        <f t="shared" si="492"/>
        <v>OK</v>
      </c>
      <c r="AI105" s="7"/>
      <c r="AJ105" s="189" t="str">
        <f t="shared" si="493"/>
        <v/>
      </c>
      <c r="AK105" s="320" t="str">
        <f t="shared" si="494"/>
        <v/>
      </c>
      <c r="AL105" s="320" t="str">
        <f t="shared" si="495"/>
        <v/>
      </c>
      <c r="AM105" s="320" t="str">
        <f t="shared" si="496"/>
        <v/>
      </c>
      <c r="AN105" s="320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26" t="str">
        <f>IF(D106="","",COUNTA($C$7:C106)-COUNTBLANK($C$7:C106)+25)</f>
        <v/>
      </c>
      <c r="B106" s="127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27" t="str">
        <f>IF(D106="","",IF(OR(D106="교육지원과",D106="총무과",D106="인사과"),"직접입력",VLOOKUP(D106,구분표!$A$3:$C$258,3,)))</f>
        <v/>
      </c>
      <c r="D106" s="194"/>
      <c r="E106" s="181"/>
      <c r="F106" s="350" t="str">
        <f t="shared" si="497"/>
        <v/>
      </c>
      <c r="G106" s="350" t="str">
        <f t="shared" si="497"/>
        <v/>
      </c>
      <c r="H106" s="181"/>
      <c r="I106" s="127" t="str">
        <f>IF(H106="","",VLOOKUP($H106,구분표!$K$3:$M$147,2,FALSE))</f>
        <v/>
      </c>
      <c r="J106" s="127" t="str">
        <f>IF(I106="","",VLOOKUP($H106,구분표!$K$3:$M$147,3,FALSE))</f>
        <v/>
      </c>
      <c r="K106" s="201"/>
      <c r="L106" s="201"/>
      <c r="M106" s="419" t="str">
        <f t="shared" si="498"/>
        <v/>
      </c>
      <c r="N106" s="419" t="str">
        <f t="shared" si="499"/>
        <v/>
      </c>
      <c r="O106" s="421" t="str">
        <f t="shared" si="482"/>
        <v/>
      </c>
      <c r="P106" s="420"/>
      <c r="Q106" s="421">
        <f t="shared" si="483"/>
        <v>0</v>
      </c>
      <c r="R106" s="422"/>
      <c r="S106" s="423">
        <f t="shared" si="484"/>
        <v>0</v>
      </c>
      <c r="T106" s="133" t="str">
        <f t="shared" si="485"/>
        <v>X</v>
      </c>
      <c r="U106" s="198"/>
      <c r="V106" s="192"/>
      <c r="W106" s="185"/>
      <c r="X106" s="202"/>
      <c r="Y106" s="185"/>
      <c r="Z106" s="320" t="str">
        <f t="shared" si="486"/>
        <v/>
      </c>
      <c r="AA106" s="60"/>
      <c r="AB106" s="446" t="str">
        <f t="shared" si="487"/>
        <v/>
      </c>
      <c r="AC106" s="447">
        <f t="shared" si="488"/>
        <v>0</v>
      </c>
      <c r="AD106" s="320" t="str">
        <f t="shared" si="489"/>
        <v>OK</v>
      </c>
      <c r="AE106" s="7"/>
      <c r="AF106" s="462" t="str">
        <f t="shared" si="490"/>
        <v/>
      </c>
      <c r="AG106" s="463">
        <f t="shared" si="491"/>
        <v>0</v>
      </c>
      <c r="AH106" s="343" t="str">
        <f t="shared" si="492"/>
        <v>OK</v>
      </c>
      <c r="AI106" s="7"/>
      <c r="AJ106" s="189" t="str">
        <f t="shared" si="493"/>
        <v/>
      </c>
      <c r="AK106" s="320" t="str">
        <f t="shared" si="494"/>
        <v/>
      </c>
      <c r="AL106" s="320" t="str">
        <f t="shared" si="495"/>
        <v/>
      </c>
      <c r="AM106" s="320" t="str">
        <f t="shared" si="496"/>
        <v/>
      </c>
      <c r="AN106" s="320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37"/>
      <c r="B107" s="962" t="s">
        <v>798</v>
      </c>
      <c r="C107" s="962"/>
      <c r="D107" s="962"/>
      <c r="E107" s="962"/>
      <c r="F107" s="962"/>
      <c r="G107" s="962"/>
      <c r="H107" s="962"/>
      <c r="I107" s="962"/>
      <c r="J107" s="962"/>
      <c r="K107" s="82"/>
      <c r="L107" s="326" t="str">
        <f>SUBTOTAL(3,L108:L110)&amp;"건"</f>
        <v>0건</v>
      </c>
      <c r="M107" s="437">
        <f>SUBTOTAL(9,M108:M110)</f>
        <v>0</v>
      </c>
      <c r="N107" s="437">
        <f t="shared" ref="N107:S107" si="500">SUBTOTAL(9,N108:N110)</f>
        <v>0</v>
      </c>
      <c r="O107" s="437">
        <f t="shared" si="500"/>
        <v>0</v>
      </c>
      <c r="P107" s="437">
        <f t="shared" si="500"/>
        <v>0</v>
      </c>
      <c r="Q107" s="437">
        <f t="shared" si="500"/>
        <v>0</v>
      </c>
      <c r="R107" s="437">
        <f t="shared" si="500"/>
        <v>0</v>
      </c>
      <c r="S107" s="437">
        <f t="shared" si="500"/>
        <v>0</v>
      </c>
      <c r="T107" s="81"/>
      <c r="U107" s="83"/>
      <c r="V107" s="83"/>
      <c r="W107" s="84"/>
      <c r="Y107" s="85"/>
      <c r="Z107" s="81"/>
      <c r="AA107" s="43"/>
      <c r="AB107" s="437">
        <f t="shared" ref="AB107:AC107" si="501">SUBTOTAL(9,AB108:AB110)</f>
        <v>0</v>
      </c>
      <c r="AC107" s="437">
        <f t="shared" si="501"/>
        <v>0</v>
      </c>
      <c r="AD107" s="511" t="str">
        <f>IF(COUNTIF(AD108:AD110,"@@")&gt;0,"@@","OK")</f>
        <v>OK</v>
      </c>
      <c r="AE107" s="52"/>
      <c r="AF107" s="437">
        <f t="shared" ref="AF107:AG107" si="502">SUBTOTAL(9,AF108:AF110)</f>
        <v>0</v>
      </c>
      <c r="AG107" s="437">
        <f t="shared" si="502"/>
        <v>0</v>
      </c>
      <c r="AH107" s="511" t="str">
        <f>IF(COUNTIF(AH108:AH110,"@@")&gt;0,"@@","OK")</f>
        <v>OK</v>
      </c>
      <c r="AI107" s="43"/>
      <c r="AJ107" s="80"/>
      <c r="AK107" s="80"/>
      <c r="AL107" s="511" t="str">
        <f>IF(COUNTIF(AL108:AL110,"@@")&gt;0,"@@","OK")</f>
        <v>OK</v>
      </c>
      <c r="AM107" s="80"/>
      <c r="AN107" s="511" t="str">
        <f>IF(COUNTIF(AN108:AN110,"@@")&gt;0,"@@","OK")</f>
        <v>OK</v>
      </c>
    </row>
    <row r="108" spans="1:40" s="19" customFormat="1" ht="80.099999999999994" customHeight="1">
      <c r="A108" s="126" t="str">
        <f>IF(D108="","",COUNTA($C$7:C108)-COUNTBLANK($C$7:C108)+26)</f>
        <v/>
      </c>
      <c r="B108" s="127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27" t="str">
        <f>IF(D108="","",IF(OR(D108="교육지원과",D108="총무과",D108="인사과"),"직접입력",VLOOKUP(D108,구분표!$A$3:$C$258,3,)))</f>
        <v/>
      </c>
      <c r="D108" s="194"/>
      <c r="E108" s="181"/>
      <c r="F108" s="350" t="str">
        <f>IF($E108="","",IF($E108="2추","직접입력","-"))</f>
        <v/>
      </c>
      <c r="G108" s="350" t="str">
        <f>IF($E108="","",IF($E108="2추","직접입력","-"))</f>
        <v/>
      </c>
      <c r="H108" s="181"/>
      <c r="I108" s="127" t="str">
        <f>IF(H108="","",VLOOKUP($H108,구분표!$K$3:$M$147,2,FALSE))</f>
        <v/>
      </c>
      <c r="J108" s="127" t="str">
        <f>IF(I108="","",VLOOKUP($H108,구분표!$K$3:$M$147,3,FALSE))</f>
        <v/>
      </c>
      <c r="K108" s="201"/>
      <c r="L108" s="201"/>
      <c r="M108" s="419" t="str">
        <f>IF($E108="","",IF(OR($E108="2추", $E108="1추", $E108="본예산"), "금액입력", "-"))</f>
        <v/>
      </c>
      <c r="N108" s="419" t="str">
        <f>IF($E108="", "", IF($E108="2추","금액입력", "-"))</f>
        <v/>
      </c>
      <c r="O108" s="421" t="str">
        <f t="shared" ref="O108:O110" si="503">IF($E108="","",SUM(M108:N108))</f>
        <v/>
      </c>
      <c r="P108" s="420"/>
      <c r="Q108" s="421">
        <f t="shared" ref="Q108:Q110" si="504">SUM(O108:P108)</f>
        <v>0</v>
      </c>
      <c r="R108" s="422"/>
      <c r="S108" s="423">
        <f t="shared" ref="S108:S110" si="505">SUM(O108,R108)</f>
        <v>0</v>
      </c>
      <c r="T108" s="133" t="str">
        <f t="shared" ref="T108:T110" si="506">IF(AND((Q108=0),(S108&gt;0)),"O",IF(AND((P108&lt;0),(Q108-S108&lt;0)),"O","X"))</f>
        <v>X</v>
      </c>
      <c r="U108" s="198"/>
      <c r="V108" s="192"/>
      <c r="W108" s="185"/>
      <c r="X108" s="202"/>
      <c r="Y108" s="185"/>
      <c r="Z108" s="320" t="str">
        <f t="shared" ref="Z108:Z110" si="507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46" t="str">
        <f t="shared" ref="AB108:AB110" si="508">IF($Z108="","",IF($Z108="국도비","금액입력",0))</f>
        <v/>
      </c>
      <c r="AC108" s="447">
        <f t="shared" ref="AC108:AC110" si="509">IFERROR(P108-AB108,0)</f>
        <v>0</v>
      </c>
      <c r="AD108" s="320" t="str">
        <f t="shared" ref="AD108:AD110" si="510">IF($P108=SUM($AB108:$AC108),"OK","@@")</f>
        <v>OK</v>
      </c>
      <c r="AE108" s="7"/>
      <c r="AF108" s="462" t="str">
        <f t="shared" ref="AF108:AF110" si="511">IF($Z108="","",IF($Z108="국도비","금액입력",0))</f>
        <v/>
      </c>
      <c r="AG108" s="463">
        <f t="shared" ref="AG108:AG110" si="512">IFERROR(R108-AF108,0)</f>
        <v>0</v>
      </c>
      <c r="AH108" s="343" t="str">
        <f t="shared" ref="AH108:AH110" si="513">IF($R108=SUM($AF108:$AG108),"OK","@@")</f>
        <v>OK</v>
      </c>
      <c r="AI108" s="7"/>
      <c r="AJ108" s="189" t="str">
        <f t="shared" ref="AJ108:AJ110" si="514">IF($Z108="","",IF($Z108="도비","-","세입번호입력"))</f>
        <v/>
      </c>
      <c r="AK108" s="320" t="str">
        <f t="shared" ref="AK108:AK110" si="515">IF(OR(AJ108="",AJ108="-",AJ108="세입번호입력"),"", COUNTIF($AJ$7:$AJ$1013,AJ108))</f>
        <v/>
      </c>
      <c r="AL108" s="320" t="str">
        <f t="shared" ref="AL108:AL110" si="516">IF($AJ108="","",IF($Z108="도비", "OK",IF(AND($Z108="국도비",$AJ108="세입없음"),"OK", IF(AND($Z108="국도비",$AJ108="세입번호입력"),"@@","OK"))))</f>
        <v/>
      </c>
      <c r="AM108" s="320" t="str">
        <f t="shared" ref="AM108:AM110" si="517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20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26" t="str">
        <f>IF(D109="","",COUNTA($C$7:C109)-COUNTBLANK($C$7:C109)+26)</f>
        <v/>
      </c>
      <c r="B109" s="127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27" t="str">
        <f>IF(D109="","",IF(OR(D109="교육지원과",D109="총무과",D109="인사과"),"직접입력",VLOOKUP(D109,구분표!$A$3:$C$258,3,)))</f>
        <v/>
      </c>
      <c r="D109" s="194"/>
      <c r="E109" s="181"/>
      <c r="F109" s="350" t="str">
        <f t="shared" ref="F109:G110" si="518">IF($E109="","",IF($E109="2추","직접입력","-"))</f>
        <v/>
      </c>
      <c r="G109" s="350" t="str">
        <f t="shared" si="518"/>
        <v/>
      </c>
      <c r="H109" s="181"/>
      <c r="I109" s="127" t="str">
        <f>IF(H109="","",VLOOKUP($H109,구분표!$K$3:$M$147,2,FALSE))</f>
        <v/>
      </c>
      <c r="J109" s="127" t="str">
        <f>IF(I109="","",VLOOKUP($H109,구분표!$K$3:$M$147,3,FALSE))</f>
        <v/>
      </c>
      <c r="K109" s="201"/>
      <c r="L109" s="201"/>
      <c r="M109" s="419" t="str">
        <f t="shared" ref="M109:M110" si="519">IF($E109="","",IF(OR($E109="2추", $E109="1추", $E109="본예산"), "금액입력", "-"))</f>
        <v/>
      </c>
      <c r="N109" s="419" t="str">
        <f t="shared" ref="N109:N110" si="520">IF($E109="", "", IF($E109="2추","금액입력", "-"))</f>
        <v/>
      </c>
      <c r="O109" s="421" t="str">
        <f t="shared" si="503"/>
        <v/>
      </c>
      <c r="P109" s="420"/>
      <c r="Q109" s="421">
        <f t="shared" si="504"/>
        <v>0</v>
      </c>
      <c r="R109" s="422"/>
      <c r="S109" s="423">
        <f t="shared" si="505"/>
        <v>0</v>
      </c>
      <c r="T109" s="133" t="str">
        <f t="shared" si="506"/>
        <v>X</v>
      </c>
      <c r="U109" s="198"/>
      <c r="V109" s="192"/>
      <c r="W109" s="185"/>
      <c r="X109" s="202"/>
      <c r="Y109" s="185"/>
      <c r="Z109" s="320" t="str">
        <f t="shared" si="507"/>
        <v/>
      </c>
      <c r="AA109" s="60"/>
      <c r="AB109" s="446" t="str">
        <f t="shared" si="508"/>
        <v/>
      </c>
      <c r="AC109" s="447">
        <f t="shared" si="509"/>
        <v>0</v>
      </c>
      <c r="AD109" s="320" t="str">
        <f t="shared" si="510"/>
        <v>OK</v>
      </c>
      <c r="AE109" s="7"/>
      <c r="AF109" s="462" t="str">
        <f t="shared" si="511"/>
        <v/>
      </c>
      <c r="AG109" s="463">
        <f t="shared" si="512"/>
        <v>0</v>
      </c>
      <c r="AH109" s="343" t="str">
        <f t="shared" si="513"/>
        <v>OK</v>
      </c>
      <c r="AI109" s="7"/>
      <c r="AJ109" s="189" t="str">
        <f t="shared" si="514"/>
        <v/>
      </c>
      <c r="AK109" s="320" t="str">
        <f t="shared" si="515"/>
        <v/>
      </c>
      <c r="AL109" s="320" t="str">
        <f t="shared" si="516"/>
        <v/>
      </c>
      <c r="AM109" s="320" t="str">
        <f t="shared" si="517"/>
        <v/>
      </c>
      <c r="AN109" s="320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26" t="str">
        <f>IF(D110="","",COUNTA($C$7:C110)-COUNTBLANK($C$7:C110)+26)</f>
        <v/>
      </c>
      <c r="B110" s="127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27" t="str">
        <f>IF(D110="","",IF(OR(D110="교육지원과",D110="총무과",D110="인사과"),"직접입력",VLOOKUP(D110,구분표!$A$3:$C$258,3,)))</f>
        <v/>
      </c>
      <c r="D110" s="194"/>
      <c r="E110" s="181"/>
      <c r="F110" s="350" t="str">
        <f t="shared" si="518"/>
        <v/>
      </c>
      <c r="G110" s="350" t="str">
        <f t="shared" si="518"/>
        <v/>
      </c>
      <c r="H110" s="181"/>
      <c r="I110" s="127" t="str">
        <f>IF(H110="","",VLOOKUP($H110,구분표!$K$3:$M$147,2,FALSE))</f>
        <v/>
      </c>
      <c r="J110" s="127" t="str">
        <f>IF(I110="","",VLOOKUP($H110,구분표!$K$3:$M$147,3,FALSE))</f>
        <v/>
      </c>
      <c r="K110" s="201"/>
      <c r="L110" s="201"/>
      <c r="M110" s="419" t="str">
        <f t="shared" si="519"/>
        <v/>
      </c>
      <c r="N110" s="419" t="str">
        <f t="shared" si="520"/>
        <v/>
      </c>
      <c r="O110" s="421" t="str">
        <f t="shared" si="503"/>
        <v/>
      </c>
      <c r="P110" s="420"/>
      <c r="Q110" s="421">
        <f t="shared" si="504"/>
        <v>0</v>
      </c>
      <c r="R110" s="422"/>
      <c r="S110" s="423">
        <f t="shared" si="505"/>
        <v>0</v>
      </c>
      <c r="T110" s="133" t="str">
        <f t="shared" si="506"/>
        <v>X</v>
      </c>
      <c r="U110" s="198"/>
      <c r="V110" s="192"/>
      <c r="W110" s="185"/>
      <c r="X110" s="202"/>
      <c r="Y110" s="185"/>
      <c r="Z110" s="320" t="str">
        <f t="shared" si="507"/>
        <v/>
      </c>
      <c r="AA110" s="60"/>
      <c r="AB110" s="446" t="str">
        <f t="shared" si="508"/>
        <v/>
      </c>
      <c r="AC110" s="447">
        <f t="shared" si="509"/>
        <v>0</v>
      </c>
      <c r="AD110" s="320" t="str">
        <f t="shared" si="510"/>
        <v>OK</v>
      </c>
      <c r="AE110" s="7"/>
      <c r="AF110" s="462" t="str">
        <f t="shared" si="511"/>
        <v/>
      </c>
      <c r="AG110" s="463">
        <f t="shared" si="512"/>
        <v>0</v>
      </c>
      <c r="AH110" s="343" t="str">
        <f t="shared" si="513"/>
        <v>OK</v>
      </c>
      <c r="AI110" s="7"/>
      <c r="AJ110" s="189" t="str">
        <f t="shared" si="514"/>
        <v/>
      </c>
      <c r="AK110" s="320" t="str">
        <f t="shared" si="515"/>
        <v/>
      </c>
      <c r="AL110" s="320" t="str">
        <f t="shared" si="516"/>
        <v/>
      </c>
      <c r="AM110" s="320" t="str">
        <f t="shared" si="517"/>
        <v/>
      </c>
      <c r="AN110" s="320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37"/>
      <c r="B111" s="962" t="s">
        <v>1134</v>
      </c>
      <c r="C111" s="962"/>
      <c r="D111" s="962"/>
      <c r="E111" s="962"/>
      <c r="F111" s="962"/>
      <c r="G111" s="962"/>
      <c r="H111" s="962"/>
      <c r="I111" s="962"/>
      <c r="J111" s="962"/>
      <c r="K111" s="82"/>
      <c r="L111" s="326" t="str">
        <f>SUBTOTAL(3,L112:L114)&amp;"건"</f>
        <v>0건</v>
      </c>
      <c r="M111" s="437">
        <f>SUBTOTAL(9,M112:M114)</f>
        <v>0</v>
      </c>
      <c r="N111" s="437">
        <f t="shared" ref="N111:S111" si="521">SUBTOTAL(9,N112:N114)</f>
        <v>0</v>
      </c>
      <c r="O111" s="437">
        <f t="shared" si="521"/>
        <v>0</v>
      </c>
      <c r="P111" s="437">
        <f t="shared" si="521"/>
        <v>0</v>
      </c>
      <c r="Q111" s="437">
        <f t="shared" si="521"/>
        <v>0</v>
      </c>
      <c r="R111" s="437">
        <f t="shared" si="521"/>
        <v>0</v>
      </c>
      <c r="S111" s="437">
        <f t="shared" si="521"/>
        <v>0</v>
      </c>
      <c r="T111" s="81"/>
      <c r="U111" s="83"/>
      <c r="V111" s="83"/>
      <c r="W111" s="84"/>
      <c r="Y111" s="85"/>
      <c r="Z111" s="81"/>
      <c r="AA111" s="43"/>
      <c r="AB111" s="437">
        <f t="shared" ref="AB111:AC111" si="522">SUBTOTAL(9,AB112:AB114)</f>
        <v>0</v>
      </c>
      <c r="AC111" s="437">
        <f t="shared" si="522"/>
        <v>0</v>
      </c>
      <c r="AD111" s="511" t="str">
        <f>IF(COUNTIF(AD112:AD114,"@@")&gt;0,"@@","OK")</f>
        <v>OK</v>
      </c>
      <c r="AE111" s="52"/>
      <c r="AF111" s="437">
        <f t="shared" ref="AF111:AG111" si="523">SUBTOTAL(9,AF112:AF114)</f>
        <v>0</v>
      </c>
      <c r="AG111" s="437">
        <f t="shared" si="523"/>
        <v>0</v>
      </c>
      <c r="AH111" s="511" t="str">
        <f>IF(COUNTIF(AH112:AH114,"@@")&gt;0,"@@","OK")</f>
        <v>OK</v>
      </c>
      <c r="AI111" s="43"/>
      <c r="AJ111" s="80"/>
      <c r="AK111" s="80"/>
      <c r="AL111" s="511" t="str">
        <f>IF(COUNTIF(AL112:AL114,"@@")&gt;0,"@@","OK")</f>
        <v>OK</v>
      </c>
      <c r="AM111" s="80"/>
      <c r="AN111" s="511" t="str">
        <f>IF(COUNTIF(AN112:AN114,"@@")&gt;0,"@@","OK")</f>
        <v>OK</v>
      </c>
    </row>
    <row r="112" spans="1:40" s="19" customFormat="1" ht="80.099999999999994" customHeight="1">
      <c r="A112" s="126" t="str">
        <f>IF(D112="","",COUNTA($C$7:C112)-COUNTBLANK($C$7:C112)+27)</f>
        <v/>
      </c>
      <c r="B112" s="127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27" t="str">
        <f>IF(D112="","",IF(OR(D112="교육지원과",D112="총무과",D112="인사과"),"직접입력",VLOOKUP(D112,구분표!$A$3:$C$258,3,)))</f>
        <v/>
      </c>
      <c r="D112" s="194"/>
      <c r="E112" s="181"/>
      <c r="F112" s="350" t="str">
        <f>IF($E112="","",IF($E112="2추","직접입력","-"))</f>
        <v/>
      </c>
      <c r="G112" s="350" t="str">
        <f>IF($E112="","",IF($E112="2추","직접입력","-"))</f>
        <v/>
      </c>
      <c r="H112" s="181"/>
      <c r="I112" s="127" t="str">
        <f>IF(H112="","",VLOOKUP($H112,구분표!$K$3:$M$147,2,FALSE))</f>
        <v/>
      </c>
      <c r="J112" s="127" t="str">
        <f>IF(I112="","",VLOOKUP($H112,구분표!$K$3:$M$147,3,FALSE))</f>
        <v/>
      </c>
      <c r="K112" s="201"/>
      <c r="L112" s="201"/>
      <c r="M112" s="419" t="str">
        <f>IF($E112="","",IF(OR($E112="2추", $E112="1추", $E112="본예산"), "금액입력", "-"))</f>
        <v/>
      </c>
      <c r="N112" s="419" t="str">
        <f>IF($E112="", "", IF($E112="2추","금액입력", "-"))</f>
        <v/>
      </c>
      <c r="O112" s="421" t="str">
        <f t="shared" ref="O112:O114" si="524">IF($E112="","",SUM(M112:N112))</f>
        <v/>
      </c>
      <c r="P112" s="420"/>
      <c r="Q112" s="421">
        <f t="shared" ref="Q112:Q114" si="525">SUM(O112:P112)</f>
        <v>0</v>
      </c>
      <c r="R112" s="422"/>
      <c r="S112" s="423">
        <f t="shared" ref="S112:S114" si="526">SUM(O112,R112)</f>
        <v>0</v>
      </c>
      <c r="T112" s="133" t="str">
        <f t="shared" ref="T112:T114" si="527">IF(AND((Q112=0),(S112&gt;0)),"O",IF(AND((P112&lt;0),(Q112-S112&lt;0)),"O","X"))</f>
        <v>X</v>
      </c>
      <c r="U112" s="198"/>
      <c r="V112" s="192"/>
      <c r="W112" s="185"/>
      <c r="X112" s="202"/>
      <c r="Y112" s="185"/>
      <c r="Z112" s="320" t="str">
        <f t="shared" ref="Z112:Z114" si="528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46" t="str">
        <f t="shared" ref="AB112:AB114" si="529">IF($Z112="","",IF($Z112="국도비","금액입력",0))</f>
        <v/>
      </c>
      <c r="AC112" s="447">
        <f t="shared" ref="AC112:AC114" si="530">IFERROR(P112-AB112,0)</f>
        <v>0</v>
      </c>
      <c r="AD112" s="320" t="str">
        <f t="shared" ref="AD112:AD114" si="531">IF($P112=SUM($AB112:$AC112),"OK","@@")</f>
        <v>OK</v>
      </c>
      <c r="AE112" s="7"/>
      <c r="AF112" s="462" t="str">
        <f t="shared" ref="AF112:AF114" si="532">IF($Z112="","",IF($Z112="국도비","금액입력",0))</f>
        <v/>
      </c>
      <c r="AG112" s="463">
        <f t="shared" ref="AG112:AG114" si="533">IFERROR(R112-AF112,0)</f>
        <v>0</v>
      </c>
      <c r="AH112" s="343" t="str">
        <f t="shared" ref="AH112:AH114" si="534">IF($R112=SUM($AF112:$AG112),"OK","@@")</f>
        <v>OK</v>
      </c>
      <c r="AI112" s="7"/>
      <c r="AJ112" s="189" t="str">
        <f t="shared" ref="AJ112:AJ114" si="535">IF($Z112="","",IF($Z112="도비","-","세입번호입력"))</f>
        <v/>
      </c>
      <c r="AK112" s="320" t="str">
        <f t="shared" ref="AK112:AK114" si="536">IF(OR(AJ112="",AJ112="-",AJ112="세입번호입력"),"", COUNTIF($AJ$7:$AJ$1013,AJ112))</f>
        <v/>
      </c>
      <c r="AL112" s="320" t="str">
        <f t="shared" ref="AL112:AL114" si="537">IF($AJ112="","",IF($Z112="도비", "OK",IF(AND($Z112="국도비",$AJ112="세입없음"),"OK", IF(AND($Z112="국도비",$AJ112="세입번호입력"),"@@","OK"))))</f>
        <v/>
      </c>
      <c r="AM112" s="320" t="str">
        <f t="shared" ref="AM112:AM114" si="538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20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26" t="str">
        <f>IF(D113="","",COUNTA($C$7:C113)-COUNTBLANK($C$7:C113)+27)</f>
        <v/>
      </c>
      <c r="B113" s="127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27" t="str">
        <f>IF(D113="","",IF(OR(D113="교육지원과",D113="총무과",D113="인사과"),"직접입력",VLOOKUP(D113,구분표!$A$3:$C$258,3,)))</f>
        <v/>
      </c>
      <c r="D113" s="194"/>
      <c r="E113" s="181"/>
      <c r="F113" s="350" t="str">
        <f t="shared" ref="F113:G114" si="539">IF($E113="","",IF($E113="2추","직접입력","-"))</f>
        <v/>
      </c>
      <c r="G113" s="350" t="str">
        <f t="shared" si="539"/>
        <v/>
      </c>
      <c r="H113" s="181"/>
      <c r="I113" s="127" t="str">
        <f>IF(H113="","",VLOOKUP($H113,구분표!$K$3:$M$147,2,FALSE))</f>
        <v/>
      </c>
      <c r="J113" s="127" t="str">
        <f>IF(I113="","",VLOOKUP($H113,구분표!$K$3:$M$147,3,FALSE))</f>
        <v/>
      </c>
      <c r="K113" s="201"/>
      <c r="L113" s="201"/>
      <c r="M113" s="419" t="str">
        <f t="shared" ref="M113:M114" si="540">IF($E113="","",IF(OR($E113="2추", $E113="1추", $E113="본예산"), "금액입력", "-"))</f>
        <v/>
      </c>
      <c r="N113" s="419" t="str">
        <f t="shared" ref="N113:N114" si="541">IF($E113="", "", IF($E113="2추","금액입력", "-"))</f>
        <v/>
      </c>
      <c r="O113" s="421" t="str">
        <f t="shared" si="524"/>
        <v/>
      </c>
      <c r="P113" s="420"/>
      <c r="Q113" s="421">
        <f t="shared" si="525"/>
        <v>0</v>
      </c>
      <c r="R113" s="422"/>
      <c r="S113" s="423">
        <f t="shared" si="526"/>
        <v>0</v>
      </c>
      <c r="T113" s="133" t="str">
        <f t="shared" si="527"/>
        <v>X</v>
      </c>
      <c r="U113" s="198"/>
      <c r="V113" s="192"/>
      <c r="W113" s="185"/>
      <c r="X113" s="202"/>
      <c r="Y113" s="185"/>
      <c r="Z113" s="320" t="str">
        <f t="shared" si="528"/>
        <v/>
      </c>
      <c r="AA113" s="60"/>
      <c r="AB113" s="446" t="str">
        <f t="shared" si="529"/>
        <v/>
      </c>
      <c r="AC113" s="447">
        <f t="shared" si="530"/>
        <v>0</v>
      </c>
      <c r="AD113" s="320" t="str">
        <f t="shared" si="531"/>
        <v>OK</v>
      </c>
      <c r="AE113" s="7"/>
      <c r="AF113" s="462" t="str">
        <f t="shared" si="532"/>
        <v/>
      </c>
      <c r="AG113" s="463">
        <f t="shared" si="533"/>
        <v>0</v>
      </c>
      <c r="AH113" s="343" t="str">
        <f t="shared" si="534"/>
        <v>OK</v>
      </c>
      <c r="AI113" s="7"/>
      <c r="AJ113" s="189" t="str">
        <f t="shared" si="535"/>
        <v/>
      </c>
      <c r="AK113" s="320" t="str">
        <f t="shared" si="536"/>
        <v/>
      </c>
      <c r="AL113" s="320" t="str">
        <f t="shared" si="537"/>
        <v/>
      </c>
      <c r="AM113" s="320" t="str">
        <f t="shared" si="538"/>
        <v/>
      </c>
      <c r="AN113" s="320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26" t="str">
        <f>IF(D114="","",COUNTA($C$7:C114)-COUNTBLANK($C$7:C114)+27)</f>
        <v/>
      </c>
      <c r="B114" s="127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27" t="str">
        <f>IF(D114="","",IF(OR(D114="교육지원과",D114="총무과",D114="인사과"),"직접입력",VLOOKUP(D114,구분표!$A$3:$C$258,3,)))</f>
        <v/>
      </c>
      <c r="D114" s="194"/>
      <c r="E114" s="181"/>
      <c r="F114" s="350" t="str">
        <f t="shared" si="539"/>
        <v/>
      </c>
      <c r="G114" s="350" t="str">
        <f t="shared" si="539"/>
        <v/>
      </c>
      <c r="H114" s="181"/>
      <c r="I114" s="127" t="str">
        <f>IF(H114="","",VLOOKUP($H114,구분표!$K$3:$M$147,2,FALSE))</f>
        <v/>
      </c>
      <c r="J114" s="127" t="str">
        <f>IF(I114="","",VLOOKUP($H114,구분표!$K$3:$M$147,3,FALSE))</f>
        <v/>
      </c>
      <c r="K114" s="201"/>
      <c r="L114" s="201"/>
      <c r="M114" s="419" t="str">
        <f t="shared" si="540"/>
        <v/>
      </c>
      <c r="N114" s="419" t="str">
        <f t="shared" si="541"/>
        <v/>
      </c>
      <c r="O114" s="421" t="str">
        <f t="shared" si="524"/>
        <v/>
      </c>
      <c r="P114" s="420"/>
      <c r="Q114" s="421">
        <f t="shared" si="525"/>
        <v>0</v>
      </c>
      <c r="R114" s="422"/>
      <c r="S114" s="423">
        <f t="shared" si="526"/>
        <v>0</v>
      </c>
      <c r="T114" s="133" t="str">
        <f t="shared" si="527"/>
        <v>X</v>
      </c>
      <c r="U114" s="198"/>
      <c r="V114" s="192"/>
      <c r="W114" s="185"/>
      <c r="X114" s="202"/>
      <c r="Y114" s="185"/>
      <c r="Z114" s="320" t="str">
        <f t="shared" si="528"/>
        <v/>
      </c>
      <c r="AA114" s="60"/>
      <c r="AB114" s="446" t="str">
        <f t="shared" si="529"/>
        <v/>
      </c>
      <c r="AC114" s="447">
        <f t="shared" si="530"/>
        <v>0</v>
      </c>
      <c r="AD114" s="320" t="str">
        <f t="shared" si="531"/>
        <v>OK</v>
      </c>
      <c r="AE114" s="7"/>
      <c r="AF114" s="462" t="str">
        <f t="shared" si="532"/>
        <v/>
      </c>
      <c r="AG114" s="463">
        <f t="shared" si="533"/>
        <v>0</v>
      </c>
      <c r="AH114" s="343" t="str">
        <f t="shared" si="534"/>
        <v>OK</v>
      </c>
      <c r="AI114" s="7"/>
      <c r="AJ114" s="189" t="str">
        <f t="shared" si="535"/>
        <v/>
      </c>
      <c r="AK114" s="320" t="str">
        <f t="shared" si="536"/>
        <v/>
      </c>
      <c r="AL114" s="320" t="str">
        <f t="shared" si="537"/>
        <v/>
      </c>
      <c r="AM114" s="320" t="str">
        <f t="shared" si="538"/>
        <v/>
      </c>
      <c r="AN114" s="320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37"/>
      <c r="B115" s="962" t="s">
        <v>1107</v>
      </c>
      <c r="C115" s="962"/>
      <c r="D115" s="962"/>
      <c r="E115" s="962"/>
      <c r="F115" s="962"/>
      <c r="G115" s="962"/>
      <c r="H115" s="962"/>
      <c r="I115" s="962"/>
      <c r="J115" s="962"/>
      <c r="K115" s="82"/>
      <c r="L115" s="326" t="str">
        <f>SUBTOTAL(3,L116:L118)&amp;"건"</f>
        <v>0건</v>
      </c>
      <c r="M115" s="437">
        <f>SUBTOTAL(9,M116:M118)</f>
        <v>0</v>
      </c>
      <c r="N115" s="437">
        <f t="shared" ref="N115:S115" si="542">SUBTOTAL(9,N116:N118)</f>
        <v>0</v>
      </c>
      <c r="O115" s="437">
        <f t="shared" si="542"/>
        <v>0</v>
      </c>
      <c r="P115" s="437">
        <f t="shared" si="542"/>
        <v>0</v>
      </c>
      <c r="Q115" s="437">
        <f t="shared" si="542"/>
        <v>0</v>
      </c>
      <c r="R115" s="437">
        <f t="shared" si="542"/>
        <v>0</v>
      </c>
      <c r="S115" s="437">
        <f t="shared" si="542"/>
        <v>0</v>
      </c>
      <c r="T115" s="81"/>
      <c r="U115" s="83"/>
      <c r="V115" s="83"/>
      <c r="W115" s="84"/>
      <c r="Y115" s="85"/>
      <c r="Z115" s="81"/>
      <c r="AA115" s="43"/>
      <c r="AB115" s="437">
        <f t="shared" ref="AB115:AC115" si="543">SUBTOTAL(9,AB116:AB118)</f>
        <v>0</v>
      </c>
      <c r="AC115" s="437">
        <f t="shared" si="543"/>
        <v>0</v>
      </c>
      <c r="AD115" s="511" t="str">
        <f>IF(COUNTIF(AD116:AD118,"@@")&gt;0,"@@","OK")</f>
        <v>OK</v>
      </c>
      <c r="AE115" s="52"/>
      <c r="AF115" s="437">
        <f t="shared" ref="AF115:AG115" si="544">SUBTOTAL(9,AF116:AF118)</f>
        <v>0</v>
      </c>
      <c r="AG115" s="437">
        <f t="shared" si="544"/>
        <v>0</v>
      </c>
      <c r="AH115" s="511" t="str">
        <f>IF(COUNTIF(AH116:AH118,"@@")&gt;0,"@@","OK")</f>
        <v>OK</v>
      </c>
      <c r="AI115" s="43"/>
      <c r="AJ115" s="80"/>
      <c r="AK115" s="80"/>
      <c r="AL115" s="511" t="str">
        <f>IF(COUNTIF(AL116:AL118,"@@")&gt;0,"@@","OK")</f>
        <v>OK</v>
      </c>
      <c r="AM115" s="80"/>
      <c r="AN115" s="511" t="str">
        <f>IF(COUNTIF(AN116:AN118,"@@")&gt;0,"@@","OK")</f>
        <v>OK</v>
      </c>
    </row>
    <row r="116" spans="1:40" ht="79.5" customHeight="1">
      <c r="A116" s="126" t="str">
        <f>IF(D116="","",COUNTA($C$7:C116)-COUNTBLANK($C$7:C116)+28)</f>
        <v/>
      </c>
      <c r="B116" s="127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27" t="str">
        <f>IF(D116="","",IF(OR(D116="교육지원과",D116="총무과",D116="인사과"),"직접입력",VLOOKUP(D116,구분표!$A$3:$C$258,3,)))</f>
        <v/>
      </c>
      <c r="D116" s="194"/>
      <c r="E116" s="181"/>
      <c r="F116" s="350" t="str">
        <f>IF($E116="","",IF($E116="2추","직접입력","-"))</f>
        <v/>
      </c>
      <c r="G116" s="350" t="str">
        <f>IF($E116="","",IF($E116="2추","직접입력","-"))</f>
        <v/>
      </c>
      <c r="H116" s="181"/>
      <c r="I116" s="127" t="str">
        <f>IF(H116="","",VLOOKUP($H116,구분표!$K$3:$M$147,2,FALSE))</f>
        <v/>
      </c>
      <c r="J116" s="127" t="str">
        <f>IF(I116="","",VLOOKUP($H116,구분표!$K$3:$M$147,3,FALSE))</f>
        <v/>
      </c>
      <c r="K116" s="201"/>
      <c r="L116" s="201"/>
      <c r="M116" s="419" t="str">
        <f>IF($E116="","",IF(OR($E116="2추", $E116="1추", $E116="본예산"), "금액입력", "-"))</f>
        <v/>
      </c>
      <c r="N116" s="419" t="str">
        <f>IF($E116="", "", IF($E116="2추","금액입력", "-"))</f>
        <v/>
      </c>
      <c r="O116" s="421" t="str">
        <f t="shared" ref="O116:O118" si="545">IF($E116="","",SUM(M116:N116))</f>
        <v/>
      </c>
      <c r="P116" s="420"/>
      <c r="Q116" s="421">
        <f t="shared" ref="Q116:Q118" si="546">SUM(O116:P116)</f>
        <v>0</v>
      </c>
      <c r="R116" s="422"/>
      <c r="S116" s="423">
        <f t="shared" ref="S116:S118" si="547">SUM(O116,R116)</f>
        <v>0</v>
      </c>
      <c r="T116" s="133" t="str">
        <f t="shared" ref="T116:T118" si="548">IF(AND((Q116=0),(S116&gt;0)),"O",IF(AND((P116&lt;0),(Q116-S116&lt;0)),"O","X"))</f>
        <v>X</v>
      </c>
      <c r="U116" s="198"/>
      <c r="V116" s="192"/>
      <c r="W116" s="185"/>
      <c r="X116" s="202"/>
      <c r="Y116" s="185"/>
      <c r="Z116" s="320" t="str">
        <f t="shared" ref="Z116:Z118" si="549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46" t="str">
        <f t="shared" ref="AB116:AB118" si="550">IF($Z116="","",IF($Z116="국도비","금액입력",0))</f>
        <v/>
      </c>
      <c r="AC116" s="447">
        <f t="shared" ref="AC116:AC118" si="551">IFERROR(P116-AB116,0)</f>
        <v>0</v>
      </c>
      <c r="AD116" s="320" t="str">
        <f t="shared" ref="AD116:AD118" si="552">IF($P116=SUM($AB116:$AC116),"OK","@@")</f>
        <v>OK</v>
      </c>
      <c r="AE116" s="7"/>
      <c r="AF116" s="462" t="str">
        <f t="shared" ref="AF116:AF118" si="553">IF($Z116="","",IF($Z116="국도비","금액입력",0))</f>
        <v/>
      </c>
      <c r="AG116" s="463">
        <f t="shared" ref="AG116:AG118" si="554">IFERROR(R116-AF116,0)</f>
        <v>0</v>
      </c>
      <c r="AH116" s="343" t="str">
        <f t="shared" ref="AH116:AH118" si="555">IF($R116=SUM($AF116:$AG116),"OK","@@")</f>
        <v>OK</v>
      </c>
      <c r="AI116" s="7"/>
      <c r="AJ116" s="189" t="str">
        <f t="shared" ref="AJ116:AJ118" si="556">IF($Z116="","",IF($Z116="도비","-","세입번호입력"))</f>
        <v/>
      </c>
      <c r="AK116" s="320" t="str">
        <f t="shared" ref="AK116:AK118" si="557">IF(OR(AJ116="",AJ116="-",AJ116="세입번호입력"),"", COUNTIF($AJ$7:$AJ$1013,AJ116))</f>
        <v/>
      </c>
      <c r="AL116" s="320" t="str">
        <f t="shared" ref="AL116:AL118" si="558">IF($AJ116="","",IF($Z116="도비", "OK",IF(AND($Z116="국도비",$AJ116="세입없음"),"OK", IF(AND($Z116="국도비",$AJ116="세입번호입력"),"@@","OK"))))</f>
        <v/>
      </c>
      <c r="AM116" s="320" t="str">
        <f t="shared" ref="AM116:AM118" si="559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20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26" t="str">
        <f>IF(D117="","",COUNTA($C$7:C117)-COUNTBLANK($C$7:C117)+28)</f>
        <v/>
      </c>
      <c r="B117" s="127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27" t="str">
        <f>IF(D117="","",IF(OR(D117="교육지원과",D117="총무과",D117="인사과"),"직접입력",VLOOKUP(D117,구분표!$A$3:$C$258,3,)))</f>
        <v/>
      </c>
      <c r="D117" s="194"/>
      <c r="E117" s="181"/>
      <c r="F117" s="350" t="str">
        <f t="shared" ref="F117:G118" si="560">IF($E117="","",IF($E117="2추","직접입력","-"))</f>
        <v/>
      </c>
      <c r="G117" s="350" t="str">
        <f t="shared" si="560"/>
        <v/>
      </c>
      <c r="H117" s="181"/>
      <c r="I117" s="127" t="str">
        <f>IF(H117="","",VLOOKUP($H117,구분표!$K$3:$M$147,2,FALSE))</f>
        <v/>
      </c>
      <c r="J117" s="127" t="str">
        <f>IF(I117="","",VLOOKUP($H117,구분표!$K$3:$M$147,3,FALSE))</f>
        <v/>
      </c>
      <c r="K117" s="201"/>
      <c r="L117" s="201"/>
      <c r="M117" s="419" t="str">
        <f t="shared" ref="M117:M118" si="561">IF($E117="","",IF(OR($E117="2추", $E117="1추", $E117="본예산"), "금액입력", "-"))</f>
        <v/>
      </c>
      <c r="N117" s="419" t="str">
        <f t="shared" ref="N117:N118" si="562">IF($E117="", "", IF($E117="2추","금액입력", "-"))</f>
        <v/>
      </c>
      <c r="O117" s="421" t="str">
        <f t="shared" si="545"/>
        <v/>
      </c>
      <c r="P117" s="420"/>
      <c r="Q117" s="421">
        <f t="shared" si="546"/>
        <v>0</v>
      </c>
      <c r="R117" s="422"/>
      <c r="S117" s="423">
        <f t="shared" si="547"/>
        <v>0</v>
      </c>
      <c r="T117" s="133" t="str">
        <f t="shared" si="548"/>
        <v>X</v>
      </c>
      <c r="U117" s="198"/>
      <c r="V117" s="192"/>
      <c r="W117" s="185"/>
      <c r="X117" s="202"/>
      <c r="Y117" s="185"/>
      <c r="Z117" s="320" t="str">
        <f t="shared" si="549"/>
        <v/>
      </c>
      <c r="AA117" s="60"/>
      <c r="AB117" s="446" t="str">
        <f t="shared" si="550"/>
        <v/>
      </c>
      <c r="AC117" s="447">
        <f t="shared" si="551"/>
        <v>0</v>
      </c>
      <c r="AD117" s="320" t="str">
        <f t="shared" si="552"/>
        <v>OK</v>
      </c>
      <c r="AE117" s="7"/>
      <c r="AF117" s="462" t="str">
        <f t="shared" si="553"/>
        <v/>
      </c>
      <c r="AG117" s="463">
        <f t="shared" si="554"/>
        <v>0</v>
      </c>
      <c r="AH117" s="343" t="str">
        <f t="shared" si="555"/>
        <v>OK</v>
      </c>
      <c r="AI117" s="7"/>
      <c r="AJ117" s="189" t="str">
        <f t="shared" si="556"/>
        <v/>
      </c>
      <c r="AK117" s="320" t="str">
        <f t="shared" si="557"/>
        <v/>
      </c>
      <c r="AL117" s="320" t="str">
        <f t="shared" si="558"/>
        <v/>
      </c>
      <c r="AM117" s="320" t="str">
        <f t="shared" si="559"/>
        <v/>
      </c>
      <c r="AN117" s="320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26" t="str">
        <f>IF(D118="","",COUNTA($C$7:C118)-COUNTBLANK($C$7:C118)+28)</f>
        <v/>
      </c>
      <c r="B118" s="127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27" t="str">
        <f>IF(D118="","",IF(OR(D118="교육지원과",D118="총무과",D118="인사과"),"직접입력",VLOOKUP(D118,구분표!$A$3:$C$258,3,)))</f>
        <v/>
      </c>
      <c r="D118" s="194"/>
      <c r="E118" s="181"/>
      <c r="F118" s="350" t="str">
        <f t="shared" si="560"/>
        <v/>
      </c>
      <c r="G118" s="350" t="str">
        <f t="shared" si="560"/>
        <v/>
      </c>
      <c r="H118" s="181"/>
      <c r="I118" s="127" t="str">
        <f>IF(H118="","",VLOOKUP($H118,구분표!$K$3:$M$147,2,FALSE))</f>
        <v/>
      </c>
      <c r="J118" s="127" t="str">
        <f>IF(I118="","",VLOOKUP($H118,구분표!$K$3:$M$147,3,FALSE))</f>
        <v/>
      </c>
      <c r="K118" s="201"/>
      <c r="L118" s="201"/>
      <c r="M118" s="419" t="str">
        <f t="shared" si="561"/>
        <v/>
      </c>
      <c r="N118" s="419" t="str">
        <f t="shared" si="562"/>
        <v/>
      </c>
      <c r="O118" s="421" t="str">
        <f t="shared" si="545"/>
        <v/>
      </c>
      <c r="P118" s="420"/>
      <c r="Q118" s="421">
        <f t="shared" si="546"/>
        <v>0</v>
      </c>
      <c r="R118" s="422"/>
      <c r="S118" s="423">
        <f t="shared" si="547"/>
        <v>0</v>
      </c>
      <c r="T118" s="133" t="str">
        <f t="shared" si="548"/>
        <v>X</v>
      </c>
      <c r="U118" s="198"/>
      <c r="V118" s="192"/>
      <c r="W118" s="185"/>
      <c r="X118" s="202"/>
      <c r="Y118" s="185"/>
      <c r="Z118" s="320" t="str">
        <f t="shared" si="549"/>
        <v/>
      </c>
      <c r="AA118" s="60"/>
      <c r="AB118" s="446" t="str">
        <f t="shared" si="550"/>
        <v/>
      </c>
      <c r="AC118" s="447">
        <f t="shared" si="551"/>
        <v>0</v>
      </c>
      <c r="AD118" s="320" t="str">
        <f t="shared" si="552"/>
        <v>OK</v>
      </c>
      <c r="AE118" s="7"/>
      <c r="AF118" s="462" t="str">
        <f t="shared" si="553"/>
        <v/>
      </c>
      <c r="AG118" s="463">
        <f t="shared" si="554"/>
        <v>0</v>
      </c>
      <c r="AH118" s="343" t="str">
        <f t="shared" si="555"/>
        <v>OK</v>
      </c>
      <c r="AI118" s="7"/>
      <c r="AJ118" s="189" t="str">
        <f t="shared" si="556"/>
        <v/>
      </c>
      <c r="AK118" s="320" t="str">
        <f t="shared" si="557"/>
        <v/>
      </c>
      <c r="AL118" s="320" t="str">
        <f t="shared" si="558"/>
        <v/>
      </c>
      <c r="AM118" s="320" t="str">
        <f t="shared" si="559"/>
        <v/>
      </c>
      <c r="AN118" s="320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37"/>
      <c r="B119" s="962" t="s">
        <v>1646</v>
      </c>
      <c r="C119" s="962"/>
      <c r="D119" s="962"/>
      <c r="E119" s="962"/>
      <c r="F119" s="962"/>
      <c r="G119" s="962"/>
      <c r="H119" s="962"/>
      <c r="I119" s="962"/>
      <c r="J119" s="962"/>
      <c r="K119" s="82"/>
      <c r="L119" s="326" t="str">
        <f>SUBTOTAL(3,L120:L122)&amp;"건"</f>
        <v>0건</v>
      </c>
      <c r="M119" s="437">
        <f>SUBTOTAL(9,M120:M122)</f>
        <v>0</v>
      </c>
      <c r="N119" s="437">
        <f t="shared" ref="N119:S119" si="563">SUBTOTAL(9,N120:N122)</f>
        <v>0</v>
      </c>
      <c r="O119" s="437">
        <f t="shared" si="563"/>
        <v>0</v>
      </c>
      <c r="P119" s="437">
        <f t="shared" si="563"/>
        <v>0</v>
      </c>
      <c r="Q119" s="437">
        <f t="shared" si="563"/>
        <v>0</v>
      </c>
      <c r="R119" s="437">
        <f t="shared" si="563"/>
        <v>0</v>
      </c>
      <c r="S119" s="437">
        <f t="shared" si="563"/>
        <v>0</v>
      </c>
      <c r="T119" s="81"/>
      <c r="U119" s="83"/>
      <c r="V119" s="83"/>
      <c r="W119" s="84"/>
      <c r="Y119" s="85"/>
      <c r="Z119" s="81"/>
      <c r="AA119" s="43"/>
      <c r="AB119" s="437">
        <f t="shared" ref="AB119:AC119" si="564">SUBTOTAL(9,AB120:AB122)</f>
        <v>0</v>
      </c>
      <c r="AC119" s="437">
        <f t="shared" si="564"/>
        <v>0</v>
      </c>
      <c r="AD119" s="511" t="str">
        <f>IF(COUNTIF(AD120:AD122,"@@")&gt;0,"@@","OK")</f>
        <v>OK</v>
      </c>
      <c r="AE119" s="52"/>
      <c r="AF119" s="437">
        <f t="shared" ref="AF119:AG119" si="565">SUBTOTAL(9,AF120:AF122)</f>
        <v>0</v>
      </c>
      <c r="AG119" s="437">
        <f t="shared" si="565"/>
        <v>0</v>
      </c>
      <c r="AH119" s="511" t="str">
        <f>IF(COUNTIF(AH120:AH122,"@@")&gt;0,"@@","OK")</f>
        <v>OK</v>
      </c>
      <c r="AI119" s="43"/>
      <c r="AJ119" s="80"/>
      <c r="AK119" s="80"/>
      <c r="AL119" s="511" t="str">
        <f>IF(COUNTIF(AL120:AL122,"@@")&gt;0,"@@","OK")</f>
        <v>OK</v>
      </c>
      <c r="AM119" s="80"/>
      <c r="AN119" s="511" t="str">
        <f>IF(COUNTIF(AN120:AN122,"@@")&gt;0,"@@","OK")</f>
        <v>OK</v>
      </c>
    </row>
    <row r="120" spans="1:40" ht="79.5" customHeight="1">
      <c r="A120" s="126" t="str">
        <f>IF(D120="","",COUNTA($C$7:C120)-COUNTBLANK($C$7:C120)+29)</f>
        <v/>
      </c>
      <c r="B120" s="127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27" t="str">
        <f>IF(D120="","",IF(OR(D120="교육지원과",D120="총무과",D120="인사과"),"직접입력",VLOOKUP(D120,구분표!$A$3:$C$258,3,)))</f>
        <v/>
      </c>
      <c r="D120" s="194"/>
      <c r="E120" s="181"/>
      <c r="F120" s="350" t="str">
        <f>IF($E120="","",IF($E120="2추","직접입력","-"))</f>
        <v/>
      </c>
      <c r="G120" s="350" t="str">
        <f>IF($E120="","",IF($E120="2추","직접입력","-"))</f>
        <v/>
      </c>
      <c r="H120" s="181"/>
      <c r="I120" s="127" t="str">
        <f>IF(H120="","",VLOOKUP($H120,구분표!$K$3:$M$147,2,FALSE))</f>
        <v/>
      </c>
      <c r="J120" s="127" t="str">
        <f>IF(I120="","",VLOOKUP($H120,구분표!$K$3:$M$147,3,FALSE))</f>
        <v/>
      </c>
      <c r="K120" s="201"/>
      <c r="L120" s="201"/>
      <c r="M120" s="419" t="str">
        <f>IF($E120="","",IF(OR($E120="2추", $E120="1추", $E120="본예산"), "금액입력", "-"))</f>
        <v/>
      </c>
      <c r="N120" s="419" t="str">
        <f>IF($E120="", "", IF($E120="2추","금액입력", "-"))</f>
        <v/>
      </c>
      <c r="O120" s="421" t="str">
        <f t="shared" ref="O120:O122" si="566">IF($E120="","",SUM(M120:N120))</f>
        <v/>
      </c>
      <c r="P120" s="420"/>
      <c r="Q120" s="421">
        <f t="shared" ref="Q120:Q122" si="567">SUM(O120:P120)</f>
        <v>0</v>
      </c>
      <c r="R120" s="422"/>
      <c r="S120" s="423">
        <f t="shared" ref="S120:S122" si="568">SUM(O120,R120)</f>
        <v>0</v>
      </c>
      <c r="T120" s="133" t="str">
        <f t="shared" ref="T120:T122" si="569">IF(AND((Q120=0),(S120&gt;0)),"O",IF(AND((P120&lt;0),(Q120-S120&lt;0)),"O","X"))</f>
        <v>X</v>
      </c>
      <c r="U120" s="198"/>
      <c r="V120" s="192"/>
      <c r="W120" s="185"/>
      <c r="X120" s="202"/>
      <c r="Y120" s="185"/>
      <c r="Z120" s="320" t="str">
        <f t="shared" ref="Z120:Z122" si="570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46" t="str">
        <f t="shared" ref="AB120:AB122" si="571">IF($Z120="","",IF($Z120="국도비","금액입력",0))</f>
        <v/>
      </c>
      <c r="AC120" s="447">
        <f t="shared" ref="AC120:AC122" si="572">IFERROR(P120-AB120,0)</f>
        <v>0</v>
      </c>
      <c r="AD120" s="320" t="str">
        <f t="shared" ref="AD120:AD122" si="573">IF($P120=SUM($AB120:$AC120),"OK","@@")</f>
        <v>OK</v>
      </c>
      <c r="AE120" s="7"/>
      <c r="AF120" s="462" t="str">
        <f t="shared" ref="AF120:AF122" si="574">IF($Z120="","",IF($Z120="국도비","금액입력",0))</f>
        <v/>
      </c>
      <c r="AG120" s="463">
        <f t="shared" ref="AG120:AG122" si="575">IFERROR(R120-AF120,0)</f>
        <v>0</v>
      </c>
      <c r="AH120" s="343" t="str">
        <f t="shared" ref="AH120:AH122" si="576">IF($R120=SUM($AF120:$AG120),"OK","@@")</f>
        <v>OK</v>
      </c>
      <c r="AI120" s="7"/>
      <c r="AJ120" s="189" t="str">
        <f t="shared" ref="AJ120:AJ122" si="577">IF($Z120="","",IF($Z120="도비","-","세입번호입력"))</f>
        <v/>
      </c>
      <c r="AK120" s="320" t="str">
        <f t="shared" ref="AK120:AK122" si="578">IF(OR(AJ120="",AJ120="-",AJ120="세입번호입력"),"", COUNTIF($AJ$7:$AJ$1013,AJ120))</f>
        <v/>
      </c>
      <c r="AL120" s="320" t="str">
        <f t="shared" ref="AL120:AL122" si="579">IF($AJ120="","",IF($Z120="도비", "OK",IF(AND($Z120="국도비",$AJ120="세입없음"),"OK", IF(AND($Z120="국도비",$AJ120="세입번호입력"),"@@","OK"))))</f>
        <v/>
      </c>
      <c r="AM120" s="320" t="str">
        <f t="shared" ref="AM120:AM122" si="580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20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26" t="str">
        <f>IF(D121="","",COUNTA($C$7:C121)-COUNTBLANK($C$7:C121)+29)</f>
        <v/>
      </c>
      <c r="B121" s="127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27" t="str">
        <f>IF(D121="","",IF(OR(D121="교육지원과",D121="총무과",D121="인사과"),"직접입력",VLOOKUP(D121,구분표!$A$3:$C$258,3,)))</f>
        <v/>
      </c>
      <c r="D121" s="194"/>
      <c r="E121" s="181"/>
      <c r="F121" s="350" t="str">
        <f t="shared" ref="F121:G122" si="581">IF($E121="","",IF($E121="2추","직접입력","-"))</f>
        <v/>
      </c>
      <c r="G121" s="350" t="str">
        <f t="shared" si="581"/>
        <v/>
      </c>
      <c r="H121" s="181"/>
      <c r="I121" s="127" t="str">
        <f>IF(H121="","",VLOOKUP($H121,구분표!$K$3:$M$147,2,FALSE))</f>
        <v/>
      </c>
      <c r="J121" s="127" t="str">
        <f>IF(I121="","",VLOOKUP($H121,구분표!$K$3:$M$147,3,FALSE))</f>
        <v/>
      </c>
      <c r="K121" s="201"/>
      <c r="L121" s="201"/>
      <c r="M121" s="419" t="str">
        <f t="shared" ref="M121:M122" si="582">IF($E121="","",IF(OR($E121="2추", $E121="1추", $E121="본예산"), "금액입력", "-"))</f>
        <v/>
      </c>
      <c r="N121" s="419" t="str">
        <f t="shared" ref="N121:N122" si="583">IF($E121="", "", IF($E121="2추","금액입력", "-"))</f>
        <v/>
      </c>
      <c r="O121" s="421" t="str">
        <f t="shared" si="566"/>
        <v/>
      </c>
      <c r="P121" s="420"/>
      <c r="Q121" s="421">
        <f t="shared" si="567"/>
        <v>0</v>
      </c>
      <c r="R121" s="422"/>
      <c r="S121" s="423">
        <f t="shared" si="568"/>
        <v>0</v>
      </c>
      <c r="T121" s="133" t="str">
        <f t="shared" si="569"/>
        <v>X</v>
      </c>
      <c r="U121" s="198"/>
      <c r="V121" s="192"/>
      <c r="W121" s="185"/>
      <c r="X121" s="202"/>
      <c r="Y121" s="185"/>
      <c r="Z121" s="320" t="str">
        <f t="shared" si="570"/>
        <v/>
      </c>
      <c r="AA121" s="60"/>
      <c r="AB121" s="446" t="str">
        <f t="shared" si="571"/>
        <v/>
      </c>
      <c r="AC121" s="447">
        <f t="shared" si="572"/>
        <v>0</v>
      </c>
      <c r="AD121" s="320" t="str">
        <f t="shared" si="573"/>
        <v>OK</v>
      </c>
      <c r="AE121" s="7"/>
      <c r="AF121" s="462" t="str">
        <f t="shared" si="574"/>
        <v/>
      </c>
      <c r="AG121" s="463">
        <f t="shared" si="575"/>
        <v>0</v>
      </c>
      <c r="AH121" s="343" t="str">
        <f t="shared" si="576"/>
        <v>OK</v>
      </c>
      <c r="AI121" s="7"/>
      <c r="AJ121" s="189" t="str">
        <f t="shared" si="577"/>
        <v/>
      </c>
      <c r="AK121" s="320" t="str">
        <f t="shared" si="578"/>
        <v/>
      </c>
      <c r="AL121" s="320" t="str">
        <f t="shared" si="579"/>
        <v/>
      </c>
      <c r="AM121" s="320" t="str">
        <f t="shared" si="580"/>
        <v/>
      </c>
      <c r="AN121" s="320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26" t="str">
        <f>IF(D122="","",COUNTA($C$7:C122)-COUNTBLANK($C$7:C122)+29)</f>
        <v/>
      </c>
      <c r="B122" s="127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27" t="str">
        <f>IF(D122="","",IF(OR(D122="교육지원과",D122="총무과",D122="인사과"),"직접입력",VLOOKUP(D122,구분표!$A$3:$C$258,3,)))</f>
        <v/>
      </c>
      <c r="D122" s="194"/>
      <c r="E122" s="181"/>
      <c r="F122" s="350" t="str">
        <f t="shared" si="581"/>
        <v/>
      </c>
      <c r="G122" s="350" t="str">
        <f t="shared" si="581"/>
        <v/>
      </c>
      <c r="H122" s="181"/>
      <c r="I122" s="127" t="str">
        <f>IF(H122="","",VLOOKUP($H122,구분표!$K$3:$M$147,2,FALSE))</f>
        <v/>
      </c>
      <c r="J122" s="127" t="str">
        <f>IF(I122="","",VLOOKUP($H122,구분표!$K$3:$M$147,3,FALSE))</f>
        <v/>
      </c>
      <c r="K122" s="201"/>
      <c r="L122" s="201"/>
      <c r="M122" s="419" t="str">
        <f t="shared" si="582"/>
        <v/>
      </c>
      <c r="N122" s="419" t="str">
        <f t="shared" si="583"/>
        <v/>
      </c>
      <c r="O122" s="421" t="str">
        <f t="shared" si="566"/>
        <v/>
      </c>
      <c r="P122" s="420"/>
      <c r="Q122" s="421">
        <f t="shared" si="567"/>
        <v>0</v>
      </c>
      <c r="R122" s="422"/>
      <c r="S122" s="423">
        <f t="shared" si="568"/>
        <v>0</v>
      </c>
      <c r="T122" s="133" t="str">
        <f t="shared" si="569"/>
        <v>X</v>
      </c>
      <c r="U122" s="198"/>
      <c r="V122" s="192"/>
      <c r="W122" s="185"/>
      <c r="X122" s="202"/>
      <c r="Y122" s="185"/>
      <c r="Z122" s="320" t="str">
        <f t="shared" si="570"/>
        <v/>
      </c>
      <c r="AA122" s="60"/>
      <c r="AB122" s="446" t="str">
        <f t="shared" si="571"/>
        <v/>
      </c>
      <c r="AC122" s="447">
        <f t="shared" si="572"/>
        <v>0</v>
      </c>
      <c r="AD122" s="320" t="str">
        <f t="shared" si="573"/>
        <v>OK</v>
      </c>
      <c r="AE122" s="7"/>
      <c r="AF122" s="462" t="str">
        <f t="shared" si="574"/>
        <v/>
      </c>
      <c r="AG122" s="463">
        <f t="shared" si="575"/>
        <v>0</v>
      </c>
      <c r="AH122" s="343" t="str">
        <f t="shared" si="576"/>
        <v>OK</v>
      </c>
      <c r="AI122" s="7"/>
      <c r="AJ122" s="189" t="str">
        <f t="shared" si="577"/>
        <v/>
      </c>
      <c r="AK122" s="320" t="str">
        <f t="shared" si="578"/>
        <v/>
      </c>
      <c r="AL122" s="320" t="str">
        <f t="shared" si="579"/>
        <v/>
      </c>
      <c r="AM122" s="320" t="str">
        <f t="shared" si="580"/>
        <v/>
      </c>
      <c r="AN122" s="320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37"/>
      <c r="B123" s="962" t="s">
        <v>1647</v>
      </c>
      <c r="C123" s="962"/>
      <c r="D123" s="962"/>
      <c r="E123" s="962"/>
      <c r="F123" s="962"/>
      <c r="G123" s="962"/>
      <c r="H123" s="962"/>
      <c r="I123" s="962"/>
      <c r="J123" s="962"/>
      <c r="K123" s="82"/>
      <c r="L123" s="326" t="str">
        <f>SUBTOTAL(3,L124:L126)&amp;"건"</f>
        <v>0건</v>
      </c>
      <c r="M123" s="437">
        <f>SUBTOTAL(9,M124:M126)</f>
        <v>0</v>
      </c>
      <c r="N123" s="437">
        <f t="shared" ref="N123:S123" si="584">SUBTOTAL(9,N124:N126)</f>
        <v>0</v>
      </c>
      <c r="O123" s="437">
        <f t="shared" si="584"/>
        <v>0</v>
      </c>
      <c r="P123" s="437">
        <f t="shared" si="584"/>
        <v>0</v>
      </c>
      <c r="Q123" s="437">
        <f t="shared" si="584"/>
        <v>0</v>
      </c>
      <c r="R123" s="437">
        <f t="shared" si="584"/>
        <v>0</v>
      </c>
      <c r="S123" s="437">
        <f t="shared" si="584"/>
        <v>0</v>
      </c>
      <c r="T123" s="81"/>
      <c r="U123" s="83"/>
      <c r="V123" s="83"/>
      <c r="W123" s="84"/>
      <c r="Y123" s="85"/>
      <c r="Z123" s="81"/>
      <c r="AA123" s="43"/>
      <c r="AB123" s="437">
        <f t="shared" ref="AB123:AC123" si="585">SUBTOTAL(9,AB124:AB126)</f>
        <v>0</v>
      </c>
      <c r="AC123" s="437">
        <f t="shared" si="585"/>
        <v>0</v>
      </c>
      <c r="AD123" s="511" t="str">
        <f>IF(COUNTIF(AD124:AD126,"@@")&gt;0,"@@","OK")</f>
        <v>OK</v>
      </c>
      <c r="AE123" s="52"/>
      <c r="AF123" s="437">
        <f t="shared" ref="AF123:AG123" si="586">SUBTOTAL(9,AF124:AF126)</f>
        <v>0</v>
      </c>
      <c r="AG123" s="437">
        <f t="shared" si="586"/>
        <v>0</v>
      </c>
      <c r="AH123" s="511" t="str">
        <f>IF(COUNTIF(AH124:AH126,"@@")&gt;0,"@@","OK")</f>
        <v>OK</v>
      </c>
      <c r="AI123" s="43"/>
      <c r="AJ123" s="80"/>
      <c r="AK123" s="80"/>
      <c r="AL123" s="511" t="str">
        <f>IF(COUNTIF(AL124:AL126,"@@")&gt;0,"@@","OK")</f>
        <v>OK</v>
      </c>
      <c r="AM123" s="80"/>
      <c r="AN123" s="511" t="str">
        <f>IF(COUNTIF(AN124:AN126,"@@")&gt;0,"@@","OK")</f>
        <v>OK</v>
      </c>
    </row>
    <row r="124" spans="1:40" ht="79.5" customHeight="1">
      <c r="A124" s="126" t="str">
        <f>IF(D124="","",COUNTA($C$7:C124)-COUNTBLANK($C$7:C124)+30)</f>
        <v/>
      </c>
      <c r="B124" s="127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27" t="str">
        <f>IF(D124="","",IF(OR(D124="교육지원과",D124="총무과",D124="인사과"),"직접입력",VLOOKUP(D124,구분표!$A$3:$C$258,3,)))</f>
        <v/>
      </c>
      <c r="D124" s="194"/>
      <c r="E124" s="181"/>
      <c r="F124" s="350" t="str">
        <f>IF($E124="","",IF($E124="2추","직접입력","-"))</f>
        <v/>
      </c>
      <c r="G124" s="350" t="str">
        <f>IF($E124="","",IF($E124="2추","직접입력","-"))</f>
        <v/>
      </c>
      <c r="H124" s="181"/>
      <c r="I124" s="127" t="str">
        <f>IF(H124="","",VLOOKUP($H124,구분표!$K$3:$M$147,2,FALSE))</f>
        <v/>
      </c>
      <c r="J124" s="127" t="str">
        <f>IF(I124="","",VLOOKUP($H124,구분표!$K$3:$M$147,3,FALSE))</f>
        <v/>
      </c>
      <c r="K124" s="201"/>
      <c r="L124" s="201"/>
      <c r="M124" s="419" t="str">
        <f>IF($E124="","",IF(OR($E124="2추", $E124="1추", $E124="본예산"), "금액입력", "-"))</f>
        <v/>
      </c>
      <c r="N124" s="419" t="str">
        <f>IF($E124="", "", IF($E124="2추","금액입력", "-"))</f>
        <v/>
      </c>
      <c r="O124" s="421" t="str">
        <f t="shared" ref="O124:O126" si="587">IF($E124="","",SUM(M124:N124))</f>
        <v/>
      </c>
      <c r="P124" s="420"/>
      <c r="Q124" s="421">
        <f t="shared" ref="Q124:Q126" si="588">SUM(O124:P124)</f>
        <v>0</v>
      </c>
      <c r="R124" s="422"/>
      <c r="S124" s="423">
        <f t="shared" ref="S124:S126" si="589">SUM(O124,R124)</f>
        <v>0</v>
      </c>
      <c r="T124" s="133" t="str">
        <f t="shared" ref="T124:T126" si="590">IF(AND((Q124=0),(S124&gt;0)),"O",IF(AND((P124&lt;0),(Q124-S124&lt;0)),"O","X"))</f>
        <v>X</v>
      </c>
      <c r="U124" s="198"/>
      <c r="V124" s="192"/>
      <c r="W124" s="185"/>
      <c r="X124" s="202"/>
      <c r="Y124" s="185"/>
      <c r="Z124" s="320" t="str">
        <f t="shared" ref="Z124:Z126" si="591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46" t="str">
        <f t="shared" ref="AB124:AB126" si="592">IF($Z124="","",IF($Z124="국도비","금액입력",0))</f>
        <v/>
      </c>
      <c r="AC124" s="447">
        <f t="shared" ref="AC124:AC126" si="593">IFERROR(P124-AB124,0)</f>
        <v>0</v>
      </c>
      <c r="AD124" s="320" t="str">
        <f t="shared" ref="AD124:AD126" si="594">IF($P124=SUM($AB124:$AC124),"OK","@@")</f>
        <v>OK</v>
      </c>
      <c r="AE124" s="7"/>
      <c r="AF124" s="462" t="str">
        <f t="shared" ref="AF124:AF126" si="595">IF($Z124="","",IF($Z124="국도비","금액입력",0))</f>
        <v/>
      </c>
      <c r="AG124" s="463">
        <f t="shared" ref="AG124:AG126" si="596">IFERROR(R124-AF124,0)</f>
        <v>0</v>
      </c>
      <c r="AH124" s="343" t="str">
        <f t="shared" ref="AH124:AH126" si="597">IF($R124=SUM($AF124:$AG124),"OK","@@")</f>
        <v>OK</v>
      </c>
      <c r="AI124" s="7"/>
      <c r="AJ124" s="189" t="str">
        <f t="shared" ref="AJ124:AJ126" si="598">IF($Z124="","",IF($Z124="도비","-","세입번호입력"))</f>
        <v/>
      </c>
      <c r="AK124" s="320" t="str">
        <f t="shared" ref="AK124:AK126" si="599">IF(OR(AJ124="",AJ124="-",AJ124="세입번호입력"),"", COUNTIF($AJ$7:$AJ$1013,AJ124))</f>
        <v/>
      </c>
      <c r="AL124" s="320" t="str">
        <f t="shared" ref="AL124:AL126" si="600">IF($AJ124="","",IF($Z124="도비", "OK",IF(AND($Z124="국도비",$AJ124="세입없음"),"OK", IF(AND($Z124="국도비",$AJ124="세입번호입력"),"@@","OK"))))</f>
        <v/>
      </c>
      <c r="AM124" s="320" t="str">
        <f t="shared" ref="AM124:AM126" si="601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20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26" t="str">
        <f>IF(D125="","",COUNTA($C$7:C125)-COUNTBLANK($C$7:C125)+30)</f>
        <v/>
      </c>
      <c r="B125" s="127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27" t="str">
        <f>IF(D125="","",IF(OR(D125="교육지원과",D125="총무과",D125="인사과"),"직접입력",VLOOKUP(D125,구분표!$A$3:$C$258,3,)))</f>
        <v/>
      </c>
      <c r="D125" s="194"/>
      <c r="E125" s="181"/>
      <c r="F125" s="350" t="str">
        <f t="shared" ref="F125:G126" si="602">IF($E125="","",IF($E125="2추","직접입력","-"))</f>
        <v/>
      </c>
      <c r="G125" s="350" t="str">
        <f t="shared" si="602"/>
        <v/>
      </c>
      <c r="H125" s="181"/>
      <c r="I125" s="127" t="str">
        <f>IF(H125="","",VLOOKUP($H125,구분표!$K$3:$M$147,2,FALSE))</f>
        <v/>
      </c>
      <c r="J125" s="127" t="str">
        <f>IF(I125="","",VLOOKUP($H125,구분표!$K$3:$M$147,3,FALSE))</f>
        <v/>
      </c>
      <c r="K125" s="201"/>
      <c r="L125" s="201"/>
      <c r="M125" s="419" t="str">
        <f t="shared" ref="M125:M126" si="603">IF($E125="","",IF(OR($E125="2추", $E125="1추", $E125="본예산"), "금액입력", "-"))</f>
        <v/>
      </c>
      <c r="N125" s="419" t="str">
        <f t="shared" ref="N125:N126" si="604">IF($E125="", "", IF($E125="2추","금액입력", "-"))</f>
        <v/>
      </c>
      <c r="O125" s="421" t="str">
        <f t="shared" si="587"/>
        <v/>
      </c>
      <c r="P125" s="420"/>
      <c r="Q125" s="421">
        <f t="shared" si="588"/>
        <v>0</v>
      </c>
      <c r="R125" s="422"/>
      <c r="S125" s="423">
        <f t="shared" si="589"/>
        <v>0</v>
      </c>
      <c r="T125" s="133" t="str">
        <f t="shared" si="590"/>
        <v>X</v>
      </c>
      <c r="U125" s="198"/>
      <c r="V125" s="192"/>
      <c r="W125" s="185"/>
      <c r="X125" s="202"/>
      <c r="Y125" s="185"/>
      <c r="Z125" s="320" t="str">
        <f t="shared" si="591"/>
        <v/>
      </c>
      <c r="AA125" s="60"/>
      <c r="AB125" s="446" t="str">
        <f t="shared" si="592"/>
        <v/>
      </c>
      <c r="AC125" s="447">
        <f t="shared" si="593"/>
        <v>0</v>
      </c>
      <c r="AD125" s="320" t="str">
        <f t="shared" si="594"/>
        <v>OK</v>
      </c>
      <c r="AE125" s="7"/>
      <c r="AF125" s="462" t="str">
        <f t="shared" si="595"/>
        <v/>
      </c>
      <c r="AG125" s="463">
        <f t="shared" si="596"/>
        <v>0</v>
      </c>
      <c r="AH125" s="343" t="str">
        <f t="shared" si="597"/>
        <v>OK</v>
      </c>
      <c r="AI125" s="7"/>
      <c r="AJ125" s="189" t="str">
        <f t="shared" si="598"/>
        <v/>
      </c>
      <c r="AK125" s="320" t="str">
        <f t="shared" si="599"/>
        <v/>
      </c>
      <c r="AL125" s="320" t="str">
        <f t="shared" si="600"/>
        <v/>
      </c>
      <c r="AM125" s="320" t="str">
        <f t="shared" si="601"/>
        <v/>
      </c>
      <c r="AN125" s="320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26" t="str">
        <f>IF(D126="","",COUNTA($C$7:C126)-COUNTBLANK($C$7:C126)+30)</f>
        <v/>
      </c>
      <c r="B126" s="127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27" t="str">
        <f>IF(D126="","",IF(OR(D126="교육지원과",D126="총무과",D126="인사과"),"직접입력",VLOOKUP(D126,구분표!$A$3:$C$258,3,)))</f>
        <v/>
      </c>
      <c r="D126" s="194"/>
      <c r="E126" s="181"/>
      <c r="F126" s="350" t="str">
        <f t="shared" si="602"/>
        <v/>
      </c>
      <c r="G126" s="350" t="str">
        <f t="shared" si="602"/>
        <v/>
      </c>
      <c r="H126" s="181"/>
      <c r="I126" s="127" t="str">
        <f>IF(H126="","",VLOOKUP($H126,구분표!$K$3:$M$147,2,FALSE))</f>
        <v/>
      </c>
      <c r="J126" s="127" t="str">
        <f>IF(I126="","",VLOOKUP($H126,구분표!$K$3:$M$147,3,FALSE))</f>
        <v/>
      </c>
      <c r="K126" s="201"/>
      <c r="L126" s="201"/>
      <c r="M126" s="419" t="str">
        <f t="shared" si="603"/>
        <v/>
      </c>
      <c r="N126" s="419" t="str">
        <f t="shared" si="604"/>
        <v/>
      </c>
      <c r="O126" s="421" t="str">
        <f t="shared" si="587"/>
        <v/>
      </c>
      <c r="P126" s="420"/>
      <c r="Q126" s="421">
        <f t="shared" si="588"/>
        <v>0</v>
      </c>
      <c r="R126" s="422"/>
      <c r="S126" s="423">
        <f t="shared" si="589"/>
        <v>0</v>
      </c>
      <c r="T126" s="133" t="str">
        <f t="shared" si="590"/>
        <v>X</v>
      </c>
      <c r="U126" s="198"/>
      <c r="V126" s="192"/>
      <c r="W126" s="185"/>
      <c r="X126" s="202"/>
      <c r="Y126" s="185"/>
      <c r="Z126" s="320" t="str">
        <f t="shared" si="591"/>
        <v/>
      </c>
      <c r="AA126" s="60"/>
      <c r="AB126" s="446" t="str">
        <f t="shared" si="592"/>
        <v/>
      </c>
      <c r="AC126" s="447">
        <f t="shared" si="593"/>
        <v>0</v>
      </c>
      <c r="AD126" s="320" t="str">
        <f t="shared" si="594"/>
        <v>OK</v>
      </c>
      <c r="AE126" s="7"/>
      <c r="AF126" s="462" t="str">
        <f t="shared" si="595"/>
        <v/>
      </c>
      <c r="AG126" s="463">
        <f t="shared" si="596"/>
        <v>0</v>
      </c>
      <c r="AH126" s="343" t="str">
        <f t="shared" si="597"/>
        <v>OK</v>
      </c>
      <c r="AI126" s="7"/>
      <c r="AJ126" s="189" t="str">
        <f t="shared" si="598"/>
        <v/>
      </c>
      <c r="AK126" s="320" t="str">
        <f t="shared" si="599"/>
        <v/>
      </c>
      <c r="AL126" s="320" t="str">
        <f t="shared" si="600"/>
        <v/>
      </c>
      <c r="AM126" s="320" t="str">
        <f t="shared" si="601"/>
        <v/>
      </c>
      <c r="AN126" s="320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12"/>
      <c r="L127" s="412"/>
      <c r="M127" s="412"/>
      <c r="N127" s="412"/>
      <c r="P127" s="458"/>
      <c r="Q127" s="458"/>
      <c r="R127" s="459"/>
      <c r="S127" s="460"/>
      <c r="T127" s="36"/>
      <c r="U127" s="59"/>
      <c r="V127" s="40"/>
      <c r="W127" s="41"/>
      <c r="Y127" s="39"/>
      <c r="Z127" s="36"/>
      <c r="AA127" s="43"/>
      <c r="AB127" s="458"/>
      <c r="AC127" s="458"/>
      <c r="AD127" s="36"/>
      <c r="AE127" s="36"/>
      <c r="AF127" s="464"/>
      <c r="AG127" s="464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12"/>
      <c r="L128" s="412"/>
      <c r="M128" s="412"/>
      <c r="N128" s="412"/>
      <c r="P128" s="458"/>
      <c r="Q128" s="458"/>
      <c r="R128" s="458"/>
      <c r="S128" s="460"/>
      <c r="T128" s="36"/>
      <c r="U128" s="59"/>
      <c r="V128" s="40"/>
      <c r="W128" s="41"/>
      <c r="Y128" s="39"/>
      <c r="Z128" s="36"/>
      <c r="AA128" s="43"/>
      <c r="AB128" s="458"/>
      <c r="AC128" s="458"/>
      <c r="AD128" s="36"/>
      <c r="AE128" s="36"/>
      <c r="AF128" s="464"/>
      <c r="AG128" s="464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12"/>
      <c r="L129" s="412"/>
      <c r="M129" s="412"/>
      <c r="N129" s="412"/>
      <c r="P129" s="458"/>
      <c r="Q129" s="458"/>
      <c r="R129" s="458"/>
      <c r="S129" s="460"/>
      <c r="T129" s="36"/>
      <c r="U129" s="59"/>
      <c r="V129" s="40"/>
      <c r="W129" s="41"/>
      <c r="Y129" s="39"/>
      <c r="Z129" s="36"/>
      <c r="AA129" s="43"/>
      <c r="AB129" s="458"/>
      <c r="AC129" s="458"/>
      <c r="AD129" s="36"/>
      <c r="AE129" s="36"/>
      <c r="AF129" s="464"/>
      <c r="AG129" s="464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12"/>
      <c r="L130" s="412"/>
      <c r="M130" s="412"/>
      <c r="N130" s="412"/>
      <c r="P130" s="458"/>
      <c r="Q130" s="458"/>
      <c r="R130" s="458"/>
      <c r="S130" s="460"/>
      <c r="T130" s="36"/>
      <c r="U130" s="59"/>
      <c r="V130" s="40"/>
      <c r="W130" s="41"/>
      <c r="Y130" s="39"/>
      <c r="Z130" s="36"/>
      <c r="AA130" s="43"/>
      <c r="AB130" s="458"/>
      <c r="AC130" s="458"/>
      <c r="AD130" s="36"/>
      <c r="AE130" s="36"/>
      <c r="AF130" s="464"/>
      <c r="AG130" s="464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12"/>
      <c r="L131" s="412"/>
      <c r="M131" s="412"/>
      <c r="N131" s="412"/>
      <c r="P131" s="458"/>
      <c r="Q131" s="458"/>
      <c r="R131" s="458"/>
      <c r="S131" s="460"/>
      <c r="T131" s="36"/>
      <c r="U131" s="59"/>
      <c r="V131" s="40"/>
      <c r="W131" s="41"/>
      <c r="Y131" s="39"/>
      <c r="Z131" s="36"/>
      <c r="AA131" s="43"/>
      <c r="AB131" s="458"/>
      <c r="AC131" s="458"/>
      <c r="AD131" s="36"/>
      <c r="AE131" s="36"/>
      <c r="AF131" s="464"/>
      <c r="AG131" s="464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12"/>
      <c r="L132" s="412"/>
      <c r="M132" s="412"/>
      <c r="N132" s="412"/>
      <c r="P132" s="458"/>
      <c r="Q132" s="458"/>
      <c r="R132" s="458"/>
      <c r="S132" s="460"/>
      <c r="T132" s="36"/>
      <c r="U132" s="59"/>
      <c r="V132" s="40"/>
      <c r="W132" s="41"/>
      <c r="Y132" s="39"/>
      <c r="Z132" s="36"/>
      <c r="AA132" s="43"/>
      <c r="AB132" s="458"/>
      <c r="AC132" s="458"/>
      <c r="AD132" s="36"/>
      <c r="AE132" s="36"/>
      <c r="AF132" s="464"/>
      <c r="AG132" s="464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12"/>
      <c r="L133" s="412"/>
      <c r="M133" s="412"/>
      <c r="N133" s="412"/>
      <c r="P133" s="458"/>
      <c r="Q133" s="458"/>
      <c r="R133" s="458"/>
      <c r="S133" s="460"/>
      <c r="T133" s="36"/>
      <c r="U133" s="39"/>
      <c r="V133" s="40"/>
      <c r="W133" s="41"/>
      <c r="Y133" s="39"/>
      <c r="Z133" s="36"/>
      <c r="AA133" s="43"/>
      <c r="AB133" s="458"/>
      <c r="AC133" s="458"/>
      <c r="AD133" s="36"/>
      <c r="AE133" s="36"/>
      <c r="AF133" s="464"/>
      <c r="AG133" s="464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12"/>
      <c r="L134" s="412"/>
      <c r="M134" s="412"/>
      <c r="N134" s="412"/>
      <c r="P134" s="458"/>
      <c r="Q134" s="458"/>
      <c r="R134" s="458"/>
      <c r="S134" s="460"/>
      <c r="T134" s="36"/>
      <c r="U134" s="39"/>
      <c r="V134" s="40"/>
      <c r="W134" s="41"/>
      <c r="Y134" s="39"/>
      <c r="Z134" s="36"/>
      <c r="AA134" s="43"/>
      <c r="AB134" s="458"/>
      <c r="AC134" s="458"/>
      <c r="AD134" s="36"/>
      <c r="AE134" s="36"/>
      <c r="AF134" s="464"/>
      <c r="AG134" s="464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12"/>
      <c r="L135" s="412"/>
      <c r="M135" s="412"/>
      <c r="N135" s="412"/>
      <c r="P135" s="458"/>
      <c r="Q135" s="458"/>
      <c r="R135" s="458"/>
      <c r="S135" s="460"/>
      <c r="T135" s="36"/>
      <c r="U135" s="39"/>
      <c r="V135" s="40"/>
      <c r="W135" s="41"/>
      <c r="Y135" s="39"/>
      <c r="Z135" s="36"/>
      <c r="AA135" s="43"/>
      <c r="AB135" s="458"/>
      <c r="AC135" s="458"/>
      <c r="AD135" s="36"/>
      <c r="AE135" s="36"/>
      <c r="AF135" s="464"/>
      <c r="AG135" s="464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12"/>
      <c r="L136" s="412"/>
      <c r="M136" s="412"/>
      <c r="N136" s="412"/>
      <c r="P136" s="458"/>
      <c r="Q136" s="458"/>
      <c r="R136" s="458"/>
      <c r="S136" s="460"/>
      <c r="T136" s="36"/>
      <c r="U136" s="39"/>
      <c r="V136" s="40"/>
      <c r="W136" s="41"/>
      <c r="Y136" s="39"/>
      <c r="Z136" s="36"/>
      <c r="AA136" s="43"/>
      <c r="AB136" s="458"/>
      <c r="AC136" s="458"/>
      <c r="AD136" s="36"/>
      <c r="AE136" s="36"/>
      <c r="AF136" s="464"/>
      <c r="AG136" s="464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13"/>
      <c r="L137" s="413"/>
      <c r="M137" s="413"/>
      <c r="N137" s="413"/>
      <c r="P137" s="449"/>
      <c r="Q137" s="449"/>
      <c r="R137" s="449"/>
      <c r="S137" s="461"/>
      <c r="T137" s="43"/>
      <c r="U137" s="55"/>
      <c r="V137" s="56"/>
      <c r="W137" s="57"/>
      <c r="Y137" s="55"/>
      <c r="Z137" s="43"/>
      <c r="AA137" s="43"/>
      <c r="AB137" s="458"/>
      <c r="AC137" s="458"/>
      <c r="AD137" s="36"/>
      <c r="AE137" s="36"/>
      <c r="AF137" s="464"/>
      <c r="AG137" s="464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13"/>
      <c r="L138" s="413"/>
      <c r="M138" s="413"/>
      <c r="N138" s="413"/>
      <c r="P138" s="449"/>
      <c r="Q138" s="449"/>
      <c r="R138" s="449"/>
      <c r="S138" s="461"/>
      <c r="T138" s="43"/>
      <c r="U138" s="55"/>
      <c r="V138" s="56"/>
      <c r="W138" s="57"/>
      <c r="Y138" s="55"/>
      <c r="Z138" s="43"/>
      <c r="AA138" s="43"/>
      <c r="AB138" s="458"/>
      <c r="AC138" s="458"/>
      <c r="AD138" s="36"/>
      <c r="AE138" s="36"/>
      <c r="AF138" s="464"/>
      <c r="AG138" s="464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13"/>
      <c r="L139" s="413"/>
      <c r="M139" s="413"/>
      <c r="N139" s="413"/>
      <c r="P139" s="449"/>
      <c r="Q139" s="449"/>
      <c r="R139" s="449"/>
      <c r="S139" s="461"/>
      <c r="T139" s="43"/>
      <c r="U139" s="55"/>
      <c r="V139" s="56"/>
      <c r="W139" s="57"/>
      <c r="Y139" s="55"/>
      <c r="Z139" s="43"/>
      <c r="AA139" s="43"/>
      <c r="AB139" s="458"/>
      <c r="AC139" s="458"/>
      <c r="AD139" s="36"/>
      <c r="AE139" s="36"/>
      <c r="AF139" s="464"/>
      <c r="AG139" s="464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13"/>
      <c r="L140" s="413"/>
      <c r="M140" s="413"/>
      <c r="N140" s="413"/>
      <c r="P140" s="449"/>
      <c r="Q140" s="449"/>
      <c r="R140" s="449"/>
      <c r="S140" s="461"/>
      <c r="T140" s="43"/>
      <c r="U140" s="55"/>
      <c r="V140" s="56"/>
      <c r="W140" s="57"/>
      <c r="Y140" s="55"/>
      <c r="Z140" s="43"/>
      <c r="AA140" s="43"/>
      <c r="AB140" s="458"/>
      <c r="AC140" s="458"/>
      <c r="AD140" s="36"/>
      <c r="AE140" s="36"/>
      <c r="AF140" s="464"/>
      <c r="AG140" s="464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13"/>
      <c r="L141" s="413"/>
      <c r="M141" s="413"/>
      <c r="N141" s="413"/>
      <c r="P141" s="449"/>
      <c r="Q141" s="449"/>
      <c r="R141" s="449"/>
      <c r="S141" s="461"/>
      <c r="T141" s="43"/>
      <c r="U141" s="55"/>
      <c r="V141" s="56"/>
      <c r="W141" s="57"/>
      <c r="Y141" s="55"/>
      <c r="Z141" s="43"/>
      <c r="AA141" s="43"/>
      <c r="AB141" s="458"/>
      <c r="AC141" s="458"/>
      <c r="AD141" s="36"/>
      <c r="AE141" s="36"/>
      <c r="AF141" s="458"/>
      <c r="AG141" s="449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13"/>
      <c r="L142" s="413"/>
      <c r="M142" s="413"/>
      <c r="N142" s="413"/>
      <c r="P142" s="449"/>
      <c r="Q142" s="449"/>
      <c r="R142" s="449"/>
      <c r="S142" s="461"/>
      <c r="T142" s="43"/>
      <c r="U142" s="55"/>
      <c r="V142" s="56"/>
      <c r="W142" s="57"/>
      <c r="Y142" s="55"/>
      <c r="Z142" s="43"/>
      <c r="AA142" s="43"/>
      <c r="AB142" s="458"/>
      <c r="AC142" s="458"/>
      <c r="AD142" s="36"/>
      <c r="AE142" s="36"/>
      <c r="AF142" s="458"/>
      <c r="AG142" s="449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13"/>
      <c r="L143" s="413"/>
      <c r="M143" s="413"/>
      <c r="N143" s="413"/>
      <c r="P143" s="449"/>
      <c r="Q143" s="449"/>
      <c r="R143" s="449"/>
      <c r="S143" s="461"/>
      <c r="T143" s="43"/>
      <c r="U143" s="55"/>
      <c r="V143" s="56"/>
      <c r="W143" s="57"/>
      <c r="Y143" s="55"/>
      <c r="Z143" s="43"/>
      <c r="AA143" s="43"/>
      <c r="AB143" s="458"/>
      <c r="AC143" s="458"/>
      <c r="AD143" s="36"/>
      <c r="AE143" s="36"/>
      <c r="AF143" s="458"/>
      <c r="AG143" s="449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13"/>
      <c r="L144" s="413"/>
      <c r="M144" s="413"/>
      <c r="N144" s="413"/>
      <c r="P144" s="449"/>
      <c r="Q144" s="449"/>
      <c r="R144" s="449"/>
      <c r="S144" s="461"/>
      <c r="T144" s="43"/>
      <c r="U144" s="55"/>
      <c r="V144" s="56"/>
      <c r="W144" s="57"/>
      <c r="Y144" s="55"/>
      <c r="Z144" s="43"/>
      <c r="AA144" s="43"/>
      <c r="AB144" s="458"/>
      <c r="AC144" s="458"/>
      <c r="AD144" s="36"/>
      <c r="AE144" s="36"/>
      <c r="AF144" s="458"/>
      <c r="AG144" s="449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13"/>
      <c r="L145" s="413"/>
      <c r="M145" s="413"/>
      <c r="N145" s="413"/>
      <c r="P145" s="449"/>
      <c r="Q145" s="449"/>
      <c r="R145" s="449"/>
      <c r="S145" s="461"/>
      <c r="T145" s="43"/>
      <c r="U145" s="55"/>
      <c r="V145" s="56"/>
      <c r="W145" s="57"/>
      <c r="Y145" s="55"/>
      <c r="Z145" s="43"/>
      <c r="AA145" s="43"/>
      <c r="AB145" s="458"/>
      <c r="AC145" s="458"/>
      <c r="AD145" s="36"/>
      <c r="AE145" s="36"/>
      <c r="AF145" s="458"/>
      <c r="AG145" s="449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13"/>
      <c r="L146" s="413"/>
      <c r="M146" s="413"/>
      <c r="N146" s="413"/>
      <c r="P146" s="449"/>
      <c r="Q146" s="449"/>
      <c r="R146" s="449"/>
      <c r="S146" s="461"/>
      <c r="T146" s="43"/>
      <c r="U146" s="55"/>
      <c r="V146" s="56"/>
      <c r="W146" s="57"/>
      <c r="Y146" s="55"/>
      <c r="Z146" s="43"/>
      <c r="AA146" s="43"/>
      <c r="AB146" s="458"/>
      <c r="AC146" s="458"/>
      <c r="AD146" s="36"/>
      <c r="AE146" s="36"/>
      <c r="AF146" s="458"/>
      <c r="AG146" s="449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13"/>
      <c r="L147" s="413"/>
      <c r="M147" s="413"/>
      <c r="N147" s="413"/>
      <c r="P147" s="449"/>
      <c r="Q147" s="449"/>
      <c r="R147" s="449"/>
      <c r="S147" s="461"/>
      <c r="T147" s="43"/>
      <c r="U147" s="55"/>
      <c r="V147" s="56"/>
      <c r="W147" s="57"/>
      <c r="Y147" s="55"/>
      <c r="Z147" s="43"/>
      <c r="AA147" s="43"/>
      <c r="AB147" s="449"/>
      <c r="AC147" s="449"/>
      <c r="AD147" s="43"/>
      <c r="AE147" s="43"/>
      <c r="AF147" s="449"/>
      <c r="AG147" s="449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13"/>
      <c r="L148" s="413"/>
      <c r="M148" s="413"/>
      <c r="N148" s="413"/>
      <c r="P148" s="449"/>
      <c r="Q148" s="449"/>
      <c r="R148" s="449"/>
      <c r="S148" s="461"/>
      <c r="T148" s="43"/>
      <c r="U148" s="55"/>
      <c r="V148" s="56"/>
      <c r="W148" s="57"/>
      <c r="Y148" s="55"/>
      <c r="Z148" s="43"/>
      <c r="AA148" s="43"/>
      <c r="AB148" s="449"/>
      <c r="AC148" s="449"/>
      <c r="AD148" s="43"/>
      <c r="AE148" s="43"/>
      <c r="AF148" s="449"/>
      <c r="AG148" s="449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13"/>
      <c r="L149" s="413"/>
      <c r="M149" s="413"/>
      <c r="N149" s="413"/>
      <c r="P149" s="449"/>
      <c r="Q149" s="449"/>
      <c r="R149" s="449"/>
      <c r="S149" s="461"/>
      <c r="T149" s="43"/>
      <c r="U149" s="55"/>
      <c r="V149" s="56"/>
      <c r="W149" s="57"/>
      <c r="Y149" s="55"/>
      <c r="Z149" s="43"/>
      <c r="AA149" s="43"/>
      <c r="AB149" s="449"/>
      <c r="AC149" s="449"/>
      <c r="AD149" s="43"/>
      <c r="AE149" s="43"/>
      <c r="AF149" s="449"/>
      <c r="AG149" s="449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13"/>
      <c r="L150" s="413"/>
      <c r="M150" s="413"/>
      <c r="N150" s="413"/>
      <c r="P150" s="449"/>
      <c r="Q150" s="449"/>
      <c r="R150" s="449"/>
      <c r="S150" s="461"/>
      <c r="T150" s="43"/>
      <c r="U150" s="55"/>
      <c r="V150" s="56"/>
      <c r="W150" s="57"/>
      <c r="Y150" s="55"/>
      <c r="Z150" s="43"/>
      <c r="AA150" s="43"/>
      <c r="AB150" s="449"/>
      <c r="AC150" s="449"/>
      <c r="AD150" s="43"/>
      <c r="AE150" s="43"/>
      <c r="AF150" s="449"/>
      <c r="AG150" s="449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13"/>
      <c r="L151" s="413"/>
      <c r="M151" s="413"/>
      <c r="N151" s="413"/>
      <c r="P151" s="449"/>
      <c r="Q151" s="449"/>
      <c r="R151" s="449"/>
      <c r="S151" s="461"/>
      <c r="T151" s="43"/>
      <c r="U151" s="55"/>
      <c r="V151" s="56"/>
      <c r="W151" s="57"/>
      <c r="Y151" s="55"/>
      <c r="Z151" s="43"/>
      <c r="AA151" s="43"/>
      <c r="AB151" s="449"/>
      <c r="AC151" s="449"/>
      <c r="AD151" s="43"/>
      <c r="AE151" s="43"/>
      <c r="AF151" s="449"/>
      <c r="AG151" s="449"/>
      <c r="AH151" s="43"/>
      <c r="AI151" s="43"/>
      <c r="AJ151" s="43"/>
      <c r="AL151" s="43"/>
      <c r="AM151" s="43"/>
      <c r="AN151" s="43"/>
    </row>
  </sheetData>
  <sheetProtection formatCells="0" autoFilter="0"/>
  <autoFilter ref="A6:AN126" xr:uid="{0766753A-E8D0-4F7E-8042-9B69A26281A1}"/>
  <mergeCells count="70">
    <mergeCell ref="S4:S5"/>
    <mergeCell ref="P4:P5"/>
    <mergeCell ref="R4:R5"/>
    <mergeCell ref="Q4:Q5"/>
    <mergeCell ref="M4:M5"/>
    <mergeCell ref="N4:N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</mergeCells>
  <phoneticPr fontId="1" type="noConversion"/>
  <conditionalFormatting sqref="AF1 AB1 O1:O3 O127:O1048576 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cfRule type="containsText" dxfId="328" priority="1160" operator="containsText" text="금액입력">
      <formula>NOT(ISERROR(SEARCH("금액입력",O1)))</formula>
    </cfRule>
  </conditionalFormatting>
  <conditionalFormatting sqref="F1:G3 F127:G1048576 F19:G19 F87:G87 F11:G11 F15:G15 F23:G23 F27:G27 F31:G31 F35:G35 F39:G39 F43:G43 F47:G47 F51:G51 F55:G55 F59:G59 F63:G63 F67:G67 F71:G71 F75:G75 F79:G79 F83:G83 F91:G91 F95:G95 F99:G99 F103:G103 F107:G107 F6:G7">
    <cfRule type="containsText" dxfId="327" priority="1159" operator="containsText" text="직접입력">
      <formula>NOT(ISERROR(SEARCH("직접입력",F1)))</formula>
    </cfRule>
  </conditionalFormatting>
  <conditionalFormatting sqref="K1:K110 K112:K114 K116:K118 K120:K122 K124:K1048576">
    <cfRule type="containsText" dxfId="326" priority="1158" operator="containsText" text="세부사업명 입력">
      <formula>NOT(ISERROR(SEARCH("세부사업명 입력",K1)))</formula>
    </cfRule>
  </conditionalFormatting>
  <conditionalFormatting sqref="L1:N3 L127:N1048576 L4:L110 L112:L114 L116:L118 L120:L122 L124:L126">
    <cfRule type="containsText" dxfId="325" priority="1157" operator="containsText" text="부기명 입력">
      <formula>NOT(ISERROR(SEARCH("부기명 입력",L1)))</formula>
    </cfRule>
  </conditionalFormatting>
  <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cfRule type="containsText" dxfId="324" priority="1156" operator="containsText" text="직접입력">
      <formula>NOT(ISERROR(SEARCH("직접입력",AJ4)))</formula>
    </cfRule>
  </conditionalFormatting>
  <conditionalFormatting sqref="F123:G123">
    <cfRule type="containsText" dxfId="323" priority="1154" operator="containsText" text="직접입력">
      <formula>NOT(ISERROR(SEARCH("직접입력",F123)))</formula>
    </cfRule>
  </conditionalFormatting>
  <conditionalFormatting sqref="K123">
    <cfRule type="containsText" dxfId="322" priority="1153" operator="containsText" text="세부사업명 입력">
      <formula>NOT(ISERROR(SEARCH("세부사업명 입력",K123)))</formula>
    </cfRule>
  </conditionalFormatting>
  <conditionalFormatting sqref="L123">
    <cfRule type="containsText" dxfId="321" priority="1152" operator="containsText" text="부기명 입력">
      <formula>NOT(ISERROR(SEARCH("부기명 입력",L123)))</formula>
    </cfRule>
  </conditionalFormatting>
  <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cfRule type="containsText" dxfId="320" priority="964" operator="containsText" text="금액입력">
      <formula>NOT(ISERROR(SEARCH("금액입력",O8)))</formula>
    </cfRule>
  </conditionalFormatting>
  <conditionalFormatting sqref="M7:S7">
    <cfRule type="containsText" dxfId="319" priority="856" operator="containsText" text="금액입력">
      <formula>NOT(ISERROR(SEARCH("금액입력",M7)))</formula>
    </cfRule>
  </conditionalFormatting>
  <conditionalFormatting sqref="M11:S11">
    <cfRule type="containsText" dxfId="318" priority="855" operator="containsText" text="금액입력">
      <formula>NOT(ISERROR(SEARCH("금액입력",M11)))</formula>
    </cfRule>
  </conditionalFormatting>
  <conditionalFormatting sqref="M15:S15">
    <cfRule type="containsText" dxfId="317" priority="854" operator="containsText" text="금액입력">
      <formula>NOT(ISERROR(SEARCH("금액입력",M15)))</formula>
    </cfRule>
  </conditionalFormatting>
  <conditionalFormatting sqref="M19:S19">
    <cfRule type="containsText" dxfId="316" priority="853" operator="containsText" text="금액입력">
      <formula>NOT(ISERROR(SEARCH("금액입력",M19)))</formula>
    </cfRule>
  </conditionalFormatting>
  <conditionalFormatting sqref="M23:S23">
    <cfRule type="containsText" dxfId="315" priority="852" operator="containsText" text="금액입력">
      <formula>NOT(ISERROR(SEARCH("금액입력",M23)))</formula>
    </cfRule>
  </conditionalFormatting>
  <conditionalFormatting sqref="M27:S27">
    <cfRule type="containsText" dxfId="314" priority="851" operator="containsText" text="금액입력">
      <formula>NOT(ISERROR(SEARCH("금액입력",M27)))</formula>
    </cfRule>
  </conditionalFormatting>
  <conditionalFormatting sqref="M31:S31">
    <cfRule type="containsText" dxfId="313" priority="850" operator="containsText" text="금액입력">
      <formula>NOT(ISERROR(SEARCH("금액입력",M31)))</formula>
    </cfRule>
  </conditionalFormatting>
  <conditionalFormatting sqref="M35:S35">
    <cfRule type="containsText" dxfId="312" priority="849" operator="containsText" text="금액입력">
      <formula>NOT(ISERROR(SEARCH("금액입력",M35)))</formula>
    </cfRule>
  </conditionalFormatting>
  <conditionalFormatting sqref="M6:N6">
    <cfRule type="containsText" dxfId="311" priority="829" operator="containsText" text="금액입력">
      <formula>NOT(ISERROR(SEARCH("금액입력",M6)))</formula>
    </cfRule>
  </conditionalFormatting>
  <conditionalFormatting sqref="M39:S39">
    <cfRule type="containsText" dxfId="310" priority="848" operator="containsText" text="금액입력">
      <formula>NOT(ISERROR(SEARCH("금액입력",M39)))</formula>
    </cfRule>
  </conditionalFormatting>
  <conditionalFormatting sqref="M43:S43">
    <cfRule type="containsText" dxfId="309" priority="847" operator="containsText" text="금액입력">
      <formula>NOT(ISERROR(SEARCH("금액입력",M43)))</formula>
    </cfRule>
  </conditionalFormatting>
  <conditionalFormatting sqref="M47:S47">
    <cfRule type="containsText" dxfId="308" priority="846" operator="containsText" text="금액입력">
      <formula>NOT(ISERROR(SEARCH("금액입력",M47)))</formula>
    </cfRule>
  </conditionalFormatting>
  <conditionalFormatting sqref="M51:S51">
    <cfRule type="containsText" dxfId="307" priority="845" operator="containsText" text="금액입력">
      <formula>NOT(ISERROR(SEARCH("금액입력",M51)))</formula>
    </cfRule>
  </conditionalFormatting>
  <conditionalFormatting sqref="M55:S55">
    <cfRule type="containsText" dxfId="306" priority="844" operator="containsText" text="금액입력">
      <formula>NOT(ISERROR(SEARCH("금액입력",M55)))</formula>
    </cfRule>
  </conditionalFormatting>
  <conditionalFormatting sqref="M59:S59">
    <cfRule type="containsText" dxfId="305" priority="843" operator="containsText" text="금액입력">
      <formula>NOT(ISERROR(SEARCH("금액입력",M59)))</formula>
    </cfRule>
  </conditionalFormatting>
  <conditionalFormatting sqref="M63:S63">
    <cfRule type="containsText" dxfId="304" priority="842" operator="containsText" text="금액입력">
      <formula>NOT(ISERROR(SEARCH("금액입력",M63)))</formula>
    </cfRule>
  </conditionalFormatting>
  <conditionalFormatting sqref="M67:S67">
    <cfRule type="containsText" dxfId="303" priority="841" operator="containsText" text="금액입력">
      <formula>NOT(ISERROR(SEARCH("금액입력",M67)))</formula>
    </cfRule>
  </conditionalFormatting>
  <conditionalFormatting sqref="M71:S71">
    <cfRule type="containsText" dxfId="302" priority="840" operator="containsText" text="금액입력">
      <formula>NOT(ISERROR(SEARCH("금액입력",M71)))</formula>
    </cfRule>
  </conditionalFormatting>
  <conditionalFormatting sqref="M75:S75">
    <cfRule type="containsText" dxfId="301" priority="839" operator="containsText" text="금액입력">
      <formula>NOT(ISERROR(SEARCH("금액입력",M75)))</formula>
    </cfRule>
  </conditionalFormatting>
  <conditionalFormatting sqref="M79:S79">
    <cfRule type="containsText" dxfId="300" priority="838" operator="containsText" text="금액입력">
      <formula>NOT(ISERROR(SEARCH("금액입력",M79)))</formula>
    </cfRule>
  </conditionalFormatting>
  <conditionalFormatting sqref="M83:S83">
    <cfRule type="containsText" dxfId="299" priority="837" operator="containsText" text="금액입력">
      <formula>NOT(ISERROR(SEARCH("금액입력",M83)))</formula>
    </cfRule>
  </conditionalFormatting>
  <conditionalFormatting sqref="M87:S87">
    <cfRule type="containsText" dxfId="298" priority="836" operator="containsText" text="금액입력">
      <formula>NOT(ISERROR(SEARCH("금액입력",M87)))</formula>
    </cfRule>
  </conditionalFormatting>
  <conditionalFormatting sqref="M91:S91">
    <cfRule type="containsText" dxfId="297" priority="835" operator="containsText" text="금액입력">
      <formula>NOT(ISERROR(SEARCH("금액입력",M91)))</formula>
    </cfRule>
  </conditionalFormatting>
  <conditionalFormatting sqref="M95:S95">
    <cfRule type="containsText" dxfId="296" priority="834" operator="containsText" text="금액입력">
      <formula>NOT(ISERROR(SEARCH("금액입력",M95)))</formula>
    </cfRule>
  </conditionalFormatting>
  <conditionalFormatting sqref="M99:S99">
    <cfRule type="containsText" dxfId="295" priority="833" operator="containsText" text="금액입력">
      <formula>NOT(ISERROR(SEARCH("금액입력",M99)))</formula>
    </cfRule>
  </conditionalFormatting>
  <conditionalFormatting sqref="M103:S103">
    <cfRule type="containsText" dxfId="294" priority="832" operator="containsText" text="금액입력">
      <formula>NOT(ISERROR(SEARCH("금액입력",M103)))</formula>
    </cfRule>
  </conditionalFormatting>
  <conditionalFormatting sqref="M107:S107">
    <cfRule type="containsText" dxfId="293" priority="831" operator="containsText" text="금액입력">
      <formula>NOT(ISERROR(SEARCH("금액입력",M107)))</formula>
    </cfRule>
  </conditionalFormatting>
  <conditionalFormatting sqref="M123:S123">
    <cfRule type="containsText" dxfId="292" priority="830" operator="containsText" text="금액입력">
      <formula>NOT(ISERROR(SEARCH("금액입력",M123)))</formula>
    </cfRule>
  </conditionalFormatting>
  <conditionalFormatting sqref="O4:O5">
    <cfRule type="containsText" dxfId="291" priority="828" operator="containsText" text="금액입력">
      <formula>NOT(ISERROR(SEARCH("금액입력",O4)))</formula>
    </cfRule>
  </conditionalFormatting>
  <conditionalFormatting sqref="F4:G5">
    <cfRule type="containsText" dxfId="290" priority="826" operator="containsText" text="직접입력">
      <formula>NOT(ISERROR(SEARCH("직접입력",F4)))</formula>
    </cfRule>
  </conditionalFormatting>
  <conditionalFormatting sqref="AC3">
    <cfRule type="containsText" dxfId="289" priority="825" operator="containsText" text="금액입력">
      <formula>NOT(ISERROR(SEARCH("금액입력",AC3)))</formula>
    </cfRule>
  </conditionalFormatting>
  <conditionalFormatting sqref="AG3">
    <cfRule type="containsText" dxfId="288" priority="824" operator="containsText" text="금액입력">
      <formula>NOT(ISERROR(SEARCH("금액입력",AG3)))</formula>
    </cfRule>
  </conditionalFormatting>
  <conditionalFormatting sqref="AF11 AB11">
    <cfRule type="containsText" dxfId="287" priority="823" operator="containsText" text="금액입력">
      <formula>NOT(ISERROR(SEARCH("금액입력",AB11)))</formula>
    </cfRule>
  </conditionalFormatting>
  <conditionalFormatting sqref="AJ11">
    <cfRule type="containsText" dxfId="286" priority="822" operator="containsText" text="직접입력">
      <formula>NOT(ISERROR(SEARCH("직접입력",AJ11)))</formula>
    </cfRule>
  </conditionalFormatting>
  <conditionalFormatting sqref="AF15 AB15">
    <cfRule type="containsText" dxfId="285" priority="821" operator="containsText" text="금액입력">
      <formula>NOT(ISERROR(SEARCH("금액입력",AB15)))</formula>
    </cfRule>
  </conditionalFormatting>
  <conditionalFormatting sqref="AJ15">
    <cfRule type="containsText" dxfId="284" priority="820" operator="containsText" text="직접입력">
      <formula>NOT(ISERROR(SEARCH("직접입력",AJ15)))</formula>
    </cfRule>
  </conditionalFormatting>
  <conditionalFormatting sqref="AF19 AB19">
    <cfRule type="containsText" dxfId="283" priority="819" operator="containsText" text="금액입력">
      <formula>NOT(ISERROR(SEARCH("금액입력",AB19)))</formula>
    </cfRule>
  </conditionalFormatting>
  <conditionalFormatting sqref="AJ19">
    <cfRule type="containsText" dxfId="282" priority="818" operator="containsText" text="직접입력">
      <formula>NOT(ISERROR(SEARCH("직접입력",AJ19)))</formula>
    </cfRule>
  </conditionalFormatting>
  <conditionalFormatting sqref="AF23 AB23">
    <cfRule type="containsText" dxfId="281" priority="817" operator="containsText" text="금액입력">
      <formula>NOT(ISERROR(SEARCH("금액입력",AB23)))</formula>
    </cfRule>
  </conditionalFormatting>
  <conditionalFormatting sqref="AJ23">
    <cfRule type="containsText" dxfId="280" priority="816" operator="containsText" text="직접입력">
      <formula>NOT(ISERROR(SEARCH("직접입력",AJ23)))</formula>
    </cfRule>
  </conditionalFormatting>
  <conditionalFormatting sqref="AF27 AB27">
    <cfRule type="containsText" dxfId="279" priority="815" operator="containsText" text="금액입력">
      <formula>NOT(ISERROR(SEARCH("금액입력",AB27)))</formula>
    </cfRule>
  </conditionalFormatting>
  <conditionalFormatting sqref="AJ27">
    <cfRule type="containsText" dxfId="278" priority="814" operator="containsText" text="직접입력">
      <formula>NOT(ISERROR(SEARCH("직접입력",AJ27)))</formula>
    </cfRule>
  </conditionalFormatting>
  <conditionalFormatting sqref="AF31 AB31">
    <cfRule type="containsText" dxfId="277" priority="813" operator="containsText" text="금액입력">
      <formula>NOT(ISERROR(SEARCH("금액입력",AB31)))</formula>
    </cfRule>
  </conditionalFormatting>
  <conditionalFormatting sqref="AJ31">
    <cfRule type="containsText" dxfId="276" priority="812" operator="containsText" text="직접입력">
      <formula>NOT(ISERROR(SEARCH("직접입력",AJ31)))</formula>
    </cfRule>
  </conditionalFormatting>
  <conditionalFormatting sqref="AF35 AB35">
    <cfRule type="containsText" dxfId="275" priority="811" operator="containsText" text="금액입력">
      <formula>NOT(ISERROR(SEARCH("금액입력",AB35)))</formula>
    </cfRule>
  </conditionalFormatting>
  <conditionalFormatting sqref="AJ35">
    <cfRule type="containsText" dxfId="274" priority="810" operator="containsText" text="직접입력">
      <formula>NOT(ISERROR(SEARCH("직접입력",AJ35)))</formula>
    </cfRule>
  </conditionalFormatting>
  <conditionalFormatting sqref="AF39 AB39">
    <cfRule type="containsText" dxfId="273" priority="809" operator="containsText" text="금액입력">
      <formula>NOT(ISERROR(SEARCH("금액입력",AB39)))</formula>
    </cfRule>
  </conditionalFormatting>
  <conditionalFormatting sqref="AJ39">
    <cfRule type="containsText" dxfId="272" priority="808" operator="containsText" text="직접입력">
      <formula>NOT(ISERROR(SEARCH("직접입력",AJ39)))</formula>
    </cfRule>
  </conditionalFormatting>
  <conditionalFormatting sqref="AF43 AB43">
    <cfRule type="containsText" dxfId="271" priority="807" operator="containsText" text="금액입력">
      <formula>NOT(ISERROR(SEARCH("금액입력",AB43)))</formula>
    </cfRule>
  </conditionalFormatting>
  <conditionalFormatting sqref="AJ43">
    <cfRule type="containsText" dxfId="270" priority="806" operator="containsText" text="직접입력">
      <formula>NOT(ISERROR(SEARCH("직접입력",AJ43)))</formula>
    </cfRule>
  </conditionalFormatting>
  <conditionalFormatting sqref="AF47 AB47">
    <cfRule type="containsText" dxfId="269" priority="805" operator="containsText" text="금액입력">
      <formula>NOT(ISERROR(SEARCH("금액입력",AB47)))</formula>
    </cfRule>
  </conditionalFormatting>
  <conditionalFormatting sqref="AJ47">
    <cfRule type="containsText" dxfId="268" priority="804" operator="containsText" text="직접입력">
      <formula>NOT(ISERROR(SEARCH("직접입력",AJ47)))</formula>
    </cfRule>
  </conditionalFormatting>
  <conditionalFormatting sqref="AF51 AB51">
    <cfRule type="containsText" dxfId="267" priority="803" operator="containsText" text="금액입력">
      <formula>NOT(ISERROR(SEARCH("금액입력",AB51)))</formula>
    </cfRule>
  </conditionalFormatting>
  <conditionalFormatting sqref="AJ51">
    <cfRule type="containsText" dxfId="266" priority="802" operator="containsText" text="직접입력">
      <formula>NOT(ISERROR(SEARCH("직접입력",AJ51)))</formula>
    </cfRule>
  </conditionalFormatting>
  <conditionalFormatting sqref="AF55 AB55">
    <cfRule type="containsText" dxfId="265" priority="801" operator="containsText" text="금액입력">
      <formula>NOT(ISERROR(SEARCH("금액입력",AB55)))</formula>
    </cfRule>
  </conditionalFormatting>
  <conditionalFormatting sqref="AJ55">
    <cfRule type="containsText" dxfId="264" priority="800" operator="containsText" text="직접입력">
      <formula>NOT(ISERROR(SEARCH("직접입력",AJ55)))</formula>
    </cfRule>
  </conditionalFormatting>
  <conditionalFormatting sqref="AF59 AB59">
    <cfRule type="containsText" dxfId="263" priority="799" operator="containsText" text="금액입력">
      <formula>NOT(ISERROR(SEARCH("금액입력",AB59)))</formula>
    </cfRule>
  </conditionalFormatting>
  <conditionalFormatting sqref="AJ59">
    <cfRule type="containsText" dxfId="262" priority="798" operator="containsText" text="직접입력">
      <formula>NOT(ISERROR(SEARCH("직접입력",AJ59)))</formula>
    </cfRule>
  </conditionalFormatting>
  <conditionalFormatting sqref="AF63 AB63">
    <cfRule type="containsText" dxfId="261" priority="797" operator="containsText" text="금액입력">
      <formula>NOT(ISERROR(SEARCH("금액입력",AB63)))</formula>
    </cfRule>
  </conditionalFormatting>
  <conditionalFormatting sqref="AJ63">
    <cfRule type="containsText" dxfId="260" priority="796" operator="containsText" text="직접입력">
      <formula>NOT(ISERROR(SEARCH("직접입력",AJ63)))</formula>
    </cfRule>
  </conditionalFormatting>
  <conditionalFormatting sqref="AF67 AB67">
    <cfRule type="containsText" dxfId="259" priority="795" operator="containsText" text="금액입력">
      <formula>NOT(ISERROR(SEARCH("금액입력",AB67)))</formula>
    </cfRule>
  </conditionalFormatting>
  <conditionalFormatting sqref="AJ67">
    <cfRule type="containsText" dxfId="258" priority="794" operator="containsText" text="직접입력">
      <formula>NOT(ISERROR(SEARCH("직접입력",AJ67)))</formula>
    </cfRule>
  </conditionalFormatting>
  <conditionalFormatting sqref="AF71 AB71">
    <cfRule type="containsText" dxfId="257" priority="793" operator="containsText" text="금액입력">
      <formula>NOT(ISERROR(SEARCH("금액입력",AB71)))</formula>
    </cfRule>
  </conditionalFormatting>
  <conditionalFormatting sqref="AJ71">
    <cfRule type="containsText" dxfId="256" priority="792" operator="containsText" text="직접입력">
      <formula>NOT(ISERROR(SEARCH("직접입력",AJ71)))</formula>
    </cfRule>
  </conditionalFormatting>
  <conditionalFormatting sqref="AF75 AB75">
    <cfRule type="containsText" dxfId="255" priority="791" operator="containsText" text="금액입력">
      <formula>NOT(ISERROR(SEARCH("금액입력",AB75)))</formula>
    </cfRule>
  </conditionalFormatting>
  <conditionalFormatting sqref="AJ75">
    <cfRule type="containsText" dxfId="254" priority="790" operator="containsText" text="직접입력">
      <formula>NOT(ISERROR(SEARCH("직접입력",AJ75)))</formula>
    </cfRule>
  </conditionalFormatting>
  <conditionalFormatting sqref="AF79 AB79">
    <cfRule type="containsText" dxfId="253" priority="789" operator="containsText" text="금액입력">
      <formula>NOT(ISERROR(SEARCH("금액입력",AB79)))</formula>
    </cfRule>
  </conditionalFormatting>
  <conditionalFormatting sqref="AJ79">
    <cfRule type="containsText" dxfId="252" priority="788" operator="containsText" text="직접입력">
      <formula>NOT(ISERROR(SEARCH("직접입력",AJ79)))</formula>
    </cfRule>
  </conditionalFormatting>
  <conditionalFormatting sqref="AF83 AB83">
    <cfRule type="containsText" dxfId="251" priority="787" operator="containsText" text="금액입력">
      <formula>NOT(ISERROR(SEARCH("금액입력",AB83)))</formula>
    </cfRule>
  </conditionalFormatting>
  <conditionalFormatting sqref="AJ83">
    <cfRule type="containsText" dxfId="250" priority="786" operator="containsText" text="직접입력">
      <formula>NOT(ISERROR(SEARCH("직접입력",AJ83)))</formula>
    </cfRule>
  </conditionalFormatting>
  <conditionalFormatting sqref="AF87 AB87">
    <cfRule type="containsText" dxfId="249" priority="785" operator="containsText" text="금액입력">
      <formula>NOT(ISERROR(SEARCH("금액입력",AB87)))</formula>
    </cfRule>
  </conditionalFormatting>
  <conditionalFormatting sqref="AJ87">
    <cfRule type="containsText" dxfId="248" priority="784" operator="containsText" text="직접입력">
      <formula>NOT(ISERROR(SEARCH("직접입력",AJ87)))</formula>
    </cfRule>
  </conditionalFormatting>
  <conditionalFormatting sqref="AF91 AB91">
    <cfRule type="containsText" dxfId="247" priority="783" operator="containsText" text="금액입력">
      <formula>NOT(ISERROR(SEARCH("금액입력",AB91)))</formula>
    </cfRule>
  </conditionalFormatting>
  <conditionalFormatting sqref="AJ91">
    <cfRule type="containsText" dxfId="246" priority="782" operator="containsText" text="직접입력">
      <formula>NOT(ISERROR(SEARCH("직접입력",AJ91)))</formula>
    </cfRule>
  </conditionalFormatting>
  <conditionalFormatting sqref="AF95 AB95">
    <cfRule type="containsText" dxfId="245" priority="781" operator="containsText" text="금액입력">
      <formula>NOT(ISERROR(SEARCH("금액입력",AB95)))</formula>
    </cfRule>
  </conditionalFormatting>
  <conditionalFormatting sqref="AJ95">
    <cfRule type="containsText" dxfId="244" priority="780" operator="containsText" text="직접입력">
      <formula>NOT(ISERROR(SEARCH("직접입력",AJ95)))</formula>
    </cfRule>
  </conditionalFormatting>
  <conditionalFormatting sqref="AF99 AB99">
    <cfRule type="containsText" dxfId="243" priority="779" operator="containsText" text="금액입력">
      <formula>NOT(ISERROR(SEARCH("금액입력",AB99)))</formula>
    </cfRule>
  </conditionalFormatting>
  <conditionalFormatting sqref="AJ99">
    <cfRule type="containsText" dxfId="242" priority="778" operator="containsText" text="직접입력">
      <formula>NOT(ISERROR(SEARCH("직접입력",AJ99)))</formula>
    </cfRule>
  </conditionalFormatting>
  <conditionalFormatting sqref="AF103 AB103">
    <cfRule type="containsText" dxfId="241" priority="777" operator="containsText" text="금액입력">
      <formula>NOT(ISERROR(SEARCH("금액입력",AB103)))</formula>
    </cfRule>
  </conditionalFormatting>
  <conditionalFormatting sqref="AJ103">
    <cfRule type="containsText" dxfId="240" priority="776" operator="containsText" text="직접입력">
      <formula>NOT(ISERROR(SEARCH("직접입력",AJ103)))</formula>
    </cfRule>
  </conditionalFormatting>
  <conditionalFormatting sqref="AF107 AB107">
    <cfRule type="containsText" dxfId="239" priority="775" operator="containsText" text="금액입력">
      <formula>NOT(ISERROR(SEARCH("금액입력",AB107)))</formula>
    </cfRule>
  </conditionalFormatting>
  <conditionalFormatting sqref="AJ107">
    <cfRule type="containsText" dxfId="238" priority="774" operator="containsText" text="직접입력">
      <formula>NOT(ISERROR(SEARCH("직접입력",AJ107)))</formula>
    </cfRule>
  </conditionalFormatting>
  <conditionalFormatting sqref="AF123 AB123">
    <cfRule type="containsText" dxfId="237" priority="773" operator="containsText" text="금액입력">
      <formula>NOT(ISERROR(SEARCH("금액입력",AB123)))</formula>
    </cfRule>
  </conditionalFormatting>
  <conditionalFormatting sqref="AJ123">
    <cfRule type="containsText" dxfId="236" priority="772" operator="containsText" text="직접입력">
      <formula>NOT(ISERROR(SEARCH("직접입력",AJ123)))</formula>
    </cfRule>
  </conditionalFormatting>
  <conditionalFormatting sqref="F111:G111">
    <cfRule type="containsText" dxfId="235" priority="770" operator="containsText" text="직접입력">
      <formula>NOT(ISERROR(SEARCH("직접입력",F111)))</formula>
    </cfRule>
  </conditionalFormatting>
  <conditionalFormatting sqref="K111">
    <cfRule type="containsText" dxfId="234" priority="769" operator="containsText" text="세부사업명 입력">
      <formula>NOT(ISERROR(SEARCH("세부사업명 입력",K111)))</formula>
    </cfRule>
  </conditionalFormatting>
  <conditionalFormatting sqref="L111">
    <cfRule type="containsText" dxfId="233" priority="768" operator="containsText" text="부기명 입력">
      <formula>NOT(ISERROR(SEARCH("부기명 입력",L111)))</formula>
    </cfRule>
  </conditionalFormatting>
  <conditionalFormatting sqref="M111:S111">
    <cfRule type="containsText" dxfId="232" priority="762" operator="containsText" text="금액입력">
      <formula>NOT(ISERROR(SEARCH("금액입력",M111)))</formula>
    </cfRule>
  </conditionalFormatting>
  <conditionalFormatting sqref="AF111 AB111">
    <cfRule type="containsText" dxfId="231" priority="761" operator="containsText" text="금액입력">
      <formula>NOT(ISERROR(SEARCH("금액입력",AB111)))</formula>
    </cfRule>
  </conditionalFormatting>
  <conditionalFormatting sqref="AJ111">
    <cfRule type="containsText" dxfId="230" priority="760" operator="containsText" text="직접입력">
      <formula>NOT(ISERROR(SEARCH("직접입력",AJ111)))</formula>
    </cfRule>
  </conditionalFormatting>
  <conditionalFormatting sqref="M4:N5">
    <cfRule type="containsText" dxfId="229" priority="759" operator="containsText" text="금액입력">
      <formula>NOT(ISERROR(SEARCH("금액입력",M4)))</formula>
    </cfRule>
  </conditionalFormatting>
  <conditionalFormatting sqref="F119:G119">
    <cfRule type="containsText" dxfId="228" priority="594" operator="containsText" text="직접입력">
      <formula>NOT(ISERROR(SEARCH("직접입력",F119)))</formula>
    </cfRule>
  </conditionalFormatting>
  <conditionalFormatting sqref="K119">
    <cfRule type="containsText" dxfId="227" priority="593" operator="containsText" text="세부사업명 입력">
      <formula>NOT(ISERROR(SEARCH("세부사업명 입력",K119)))</formula>
    </cfRule>
  </conditionalFormatting>
  <conditionalFormatting sqref="L119">
    <cfRule type="containsText" dxfId="226" priority="592" operator="containsText" text="부기명 입력">
      <formula>NOT(ISERROR(SEARCH("부기명 입력",L119)))</formula>
    </cfRule>
  </conditionalFormatting>
  <conditionalFormatting sqref="M119:S119">
    <cfRule type="containsText" dxfId="225" priority="586" operator="containsText" text="금액입력">
      <formula>NOT(ISERROR(SEARCH("금액입력",M119)))</formula>
    </cfRule>
  </conditionalFormatting>
  <conditionalFormatting sqref="AF119 AB119">
    <cfRule type="containsText" dxfId="224" priority="585" operator="containsText" text="금액입력">
      <formula>NOT(ISERROR(SEARCH("금액입력",AB119)))</formula>
    </cfRule>
  </conditionalFormatting>
  <conditionalFormatting sqref="AJ119">
    <cfRule type="containsText" dxfId="223" priority="584" operator="containsText" text="직접입력">
      <formula>NOT(ISERROR(SEARCH("직접입력",AJ119)))</formula>
    </cfRule>
  </conditionalFormatting>
  <conditionalFormatting sqref="F115:G115">
    <cfRule type="containsText" dxfId="222" priority="579" operator="containsText" text="직접입력">
      <formula>NOT(ISERROR(SEARCH("직접입력",F115)))</formula>
    </cfRule>
  </conditionalFormatting>
  <conditionalFormatting sqref="K115">
    <cfRule type="containsText" dxfId="221" priority="578" operator="containsText" text="세부사업명 입력">
      <formula>NOT(ISERROR(SEARCH("세부사업명 입력",K115)))</formula>
    </cfRule>
  </conditionalFormatting>
  <conditionalFormatting sqref="L115">
    <cfRule type="containsText" dxfId="220" priority="577" operator="containsText" text="부기명 입력">
      <formula>NOT(ISERROR(SEARCH("부기명 입력",L115)))</formula>
    </cfRule>
  </conditionalFormatting>
  <conditionalFormatting sqref="M115:S115">
    <cfRule type="containsText" dxfId="219" priority="571" operator="containsText" text="금액입력">
      <formula>NOT(ISERROR(SEARCH("금액입력",M115)))</formula>
    </cfRule>
  </conditionalFormatting>
  <conditionalFormatting sqref="AF115 AB115">
    <cfRule type="containsText" dxfId="218" priority="570" operator="containsText" text="금액입력">
      <formula>NOT(ISERROR(SEARCH("금액입력",AB115)))</formula>
    </cfRule>
  </conditionalFormatting>
  <conditionalFormatting sqref="AJ115">
    <cfRule type="containsText" dxfId="217" priority="569" operator="containsText" text="직접입력">
      <formula>NOT(ISERROR(SEARCH("직접입력",AJ115)))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216" priority="566" operator="containsText" text="직접입력">
      <formula>NOT(ISERROR(SEARCH("직접입력",B8)))</formula>
    </cfRule>
  </conditionalFormatting>
  <conditionalFormatting sqref="F8:G10">
    <cfRule type="containsText" dxfId="215" priority="416" operator="containsText" text="직접입력">
      <formula>NOT(ISERROR(SEARCH("직접입력",F8)))</formula>
    </cfRule>
  </conditionalFormatting>
  <conditionalFormatting sqref="M8:M10">
    <cfRule type="containsText" dxfId="214" priority="383" operator="containsText" text="부기명 입력">
      <formula>NOT(ISERROR(SEARCH("부기명 입력",M8)))</formula>
    </cfRule>
  </conditionalFormatting>
  <conditionalFormatting sqref="M8:M10">
    <cfRule type="containsText" dxfId="213" priority="382" operator="containsText" text="금액입력">
      <formula>NOT(ISERROR(SEARCH("금액입력",M8)))</formula>
    </cfRule>
  </conditionalFormatting>
  <conditionalFormatting sqref="N8:N10">
    <cfRule type="containsText" dxfId="212" priority="381" operator="containsText" text="금액입력">
      <formula>NOT(ISERROR(SEARCH("금액입력",N8)))</formula>
    </cfRule>
  </conditionalFormatting>
  <conditionalFormatting sqref="M8:M10">
    <cfRule type="containsText" dxfId="211" priority="380" operator="containsText" text="부기명 입력">
      <formula>NOT(ISERROR(SEARCH("부기명 입력",M8)))</formula>
    </cfRule>
  </conditionalFormatting>
  <conditionalFormatting sqref="M8:M10">
    <cfRule type="containsText" dxfId="210" priority="379" operator="containsText" text="금액입력">
      <formula>NOT(ISERROR(SEARCH("금액입력",M8)))</formula>
    </cfRule>
  </conditionalFormatting>
  <conditionalFormatting sqref="N8:N10">
    <cfRule type="containsText" dxfId="209" priority="378" operator="containsText" text="금액입력">
      <formula>NOT(ISERROR(SEARCH("금액입력",N8)))</formula>
    </cfRule>
  </conditionalFormatting>
  <conditionalFormatting sqref="F12:G14">
    <cfRule type="containsText" dxfId="208" priority="203" operator="containsText" text="직접입력">
      <formula>NOT(ISERROR(SEARCH("직접입력",F12)))</formula>
    </cfRule>
  </conditionalFormatting>
  <conditionalFormatting sqref="F16:G18">
    <cfRule type="containsText" dxfId="207" priority="202" operator="containsText" text="직접입력">
      <formula>NOT(ISERROR(SEARCH("직접입력",F16)))</formula>
    </cfRule>
  </conditionalFormatting>
  <conditionalFormatting sqref="F20:G22">
    <cfRule type="containsText" dxfId="206" priority="201" operator="containsText" text="직접입력">
      <formula>NOT(ISERROR(SEARCH("직접입력",F20)))</formula>
    </cfRule>
  </conditionalFormatting>
  <conditionalFormatting sqref="F24:G26">
    <cfRule type="containsText" dxfId="205" priority="200" operator="containsText" text="직접입력">
      <formula>NOT(ISERROR(SEARCH("직접입력",F24)))</formula>
    </cfRule>
  </conditionalFormatting>
  <conditionalFormatting sqref="F28:G30">
    <cfRule type="containsText" dxfId="204" priority="199" operator="containsText" text="직접입력">
      <formula>NOT(ISERROR(SEARCH("직접입력",F28)))</formula>
    </cfRule>
  </conditionalFormatting>
  <conditionalFormatting sqref="F32:G34">
    <cfRule type="containsText" dxfId="203" priority="198" operator="containsText" text="직접입력">
      <formula>NOT(ISERROR(SEARCH("직접입력",F32)))</formula>
    </cfRule>
  </conditionalFormatting>
  <conditionalFormatting sqref="F36:G38">
    <cfRule type="containsText" dxfId="202" priority="197" operator="containsText" text="직접입력">
      <formula>NOT(ISERROR(SEARCH("직접입력",F36)))</formula>
    </cfRule>
  </conditionalFormatting>
  <conditionalFormatting sqref="F40:G42">
    <cfRule type="containsText" dxfId="201" priority="196" operator="containsText" text="직접입력">
      <formula>NOT(ISERROR(SEARCH("직접입력",F40)))</formula>
    </cfRule>
  </conditionalFormatting>
  <conditionalFormatting sqref="F44:G46">
    <cfRule type="containsText" dxfId="200" priority="195" operator="containsText" text="직접입력">
      <formula>NOT(ISERROR(SEARCH("직접입력",F44)))</formula>
    </cfRule>
  </conditionalFormatting>
  <conditionalFormatting sqref="F48:G50">
    <cfRule type="containsText" dxfId="199" priority="194" operator="containsText" text="직접입력">
      <formula>NOT(ISERROR(SEARCH("직접입력",F48)))</formula>
    </cfRule>
  </conditionalFormatting>
  <conditionalFormatting sqref="F52:G54">
    <cfRule type="containsText" dxfId="198" priority="193" operator="containsText" text="직접입력">
      <formula>NOT(ISERROR(SEARCH("직접입력",F52)))</formula>
    </cfRule>
  </conditionalFormatting>
  <conditionalFormatting sqref="F56:G58">
    <cfRule type="containsText" dxfId="197" priority="192" operator="containsText" text="직접입력">
      <formula>NOT(ISERROR(SEARCH("직접입력",F56)))</formula>
    </cfRule>
  </conditionalFormatting>
  <conditionalFormatting sqref="F60:G62">
    <cfRule type="containsText" dxfId="196" priority="191" operator="containsText" text="직접입력">
      <formula>NOT(ISERROR(SEARCH("직접입력",F60)))</formula>
    </cfRule>
  </conditionalFormatting>
  <conditionalFormatting sqref="F64:G66">
    <cfRule type="containsText" dxfId="195" priority="190" operator="containsText" text="직접입력">
      <formula>NOT(ISERROR(SEARCH("직접입력",F64)))</formula>
    </cfRule>
  </conditionalFormatting>
  <conditionalFormatting sqref="F68:G70">
    <cfRule type="containsText" dxfId="194" priority="189" operator="containsText" text="직접입력">
      <formula>NOT(ISERROR(SEARCH("직접입력",F68)))</formula>
    </cfRule>
  </conditionalFormatting>
  <conditionalFormatting sqref="F72:G74">
    <cfRule type="containsText" dxfId="193" priority="188" operator="containsText" text="직접입력">
      <formula>NOT(ISERROR(SEARCH("직접입력",F72)))</formula>
    </cfRule>
  </conditionalFormatting>
  <conditionalFormatting sqref="F76:G78">
    <cfRule type="containsText" dxfId="192" priority="187" operator="containsText" text="직접입력">
      <formula>NOT(ISERROR(SEARCH("직접입력",F76)))</formula>
    </cfRule>
  </conditionalFormatting>
  <conditionalFormatting sqref="F80:G82">
    <cfRule type="containsText" dxfId="191" priority="186" operator="containsText" text="직접입력">
      <formula>NOT(ISERROR(SEARCH("직접입력",F80)))</formula>
    </cfRule>
  </conditionalFormatting>
  <conditionalFormatting sqref="F84:G86">
    <cfRule type="containsText" dxfId="190" priority="185" operator="containsText" text="직접입력">
      <formula>NOT(ISERROR(SEARCH("직접입력",F84)))</formula>
    </cfRule>
  </conditionalFormatting>
  <conditionalFormatting sqref="F88:G90">
    <cfRule type="containsText" dxfId="189" priority="184" operator="containsText" text="직접입력">
      <formula>NOT(ISERROR(SEARCH("직접입력",F88)))</formula>
    </cfRule>
  </conditionalFormatting>
  <conditionalFormatting sqref="F92:G94">
    <cfRule type="containsText" dxfId="188" priority="183" operator="containsText" text="직접입력">
      <formula>NOT(ISERROR(SEARCH("직접입력",F92)))</formula>
    </cfRule>
  </conditionalFormatting>
  <conditionalFormatting sqref="F96:G98">
    <cfRule type="containsText" dxfId="187" priority="182" operator="containsText" text="직접입력">
      <formula>NOT(ISERROR(SEARCH("직접입력",F96)))</formula>
    </cfRule>
  </conditionalFormatting>
  <conditionalFormatting sqref="F100:G102">
    <cfRule type="containsText" dxfId="186" priority="181" operator="containsText" text="직접입력">
      <formula>NOT(ISERROR(SEARCH("직접입력",F100)))</formula>
    </cfRule>
  </conditionalFormatting>
  <conditionalFormatting sqref="F104:G106">
    <cfRule type="containsText" dxfId="185" priority="180" operator="containsText" text="직접입력">
      <formula>NOT(ISERROR(SEARCH("직접입력",F104)))</formula>
    </cfRule>
  </conditionalFormatting>
  <conditionalFormatting sqref="F108:G110">
    <cfRule type="containsText" dxfId="184" priority="179" operator="containsText" text="직접입력">
      <formula>NOT(ISERROR(SEARCH("직접입력",F108)))</formula>
    </cfRule>
  </conditionalFormatting>
  <conditionalFormatting sqref="F112:G114">
    <cfRule type="containsText" dxfId="183" priority="178" operator="containsText" text="직접입력">
      <formula>NOT(ISERROR(SEARCH("직접입력",F112)))</formula>
    </cfRule>
  </conditionalFormatting>
  <conditionalFormatting sqref="F116:G118">
    <cfRule type="containsText" dxfId="182" priority="177" operator="containsText" text="직접입력">
      <formula>NOT(ISERROR(SEARCH("직접입력",F116)))</formula>
    </cfRule>
  </conditionalFormatting>
  <conditionalFormatting sqref="F120:G122">
    <cfRule type="containsText" dxfId="181" priority="176" operator="containsText" text="직접입력">
      <formula>NOT(ISERROR(SEARCH("직접입력",F120)))</formula>
    </cfRule>
  </conditionalFormatting>
  <conditionalFormatting sqref="F124:G126">
    <cfRule type="containsText" dxfId="180" priority="175" operator="containsText" text="직접입력">
      <formula>NOT(ISERROR(SEARCH("직접입력",F124)))</formula>
    </cfRule>
  </conditionalFormatting>
  <conditionalFormatting sqref="M12:M14">
    <cfRule type="containsText" dxfId="179" priority="174" operator="containsText" text="부기명 입력">
      <formula>NOT(ISERROR(SEARCH("부기명 입력",M12)))</formula>
    </cfRule>
  </conditionalFormatting>
  <conditionalFormatting sqref="M12:M14">
    <cfRule type="containsText" dxfId="178" priority="173" operator="containsText" text="금액입력">
      <formula>NOT(ISERROR(SEARCH("금액입력",M12)))</formula>
    </cfRule>
  </conditionalFormatting>
  <conditionalFormatting sqref="N12:N14">
    <cfRule type="containsText" dxfId="177" priority="172" operator="containsText" text="금액입력">
      <formula>NOT(ISERROR(SEARCH("금액입력",N12)))</formula>
    </cfRule>
  </conditionalFormatting>
  <conditionalFormatting sqref="M12:M14">
    <cfRule type="containsText" dxfId="176" priority="171" operator="containsText" text="부기명 입력">
      <formula>NOT(ISERROR(SEARCH("부기명 입력",M12)))</formula>
    </cfRule>
  </conditionalFormatting>
  <conditionalFormatting sqref="M12:M14">
    <cfRule type="containsText" dxfId="175" priority="170" operator="containsText" text="금액입력">
      <formula>NOT(ISERROR(SEARCH("금액입력",M12)))</formula>
    </cfRule>
  </conditionalFormatting>
  <conditionalFormatting sqref="N12:N14">
    <cfRule type="containsText" dxfId="174" priority="169" operator="containsText" text="금액입력">
      <formula>NOT(ISERROR(SEARCH("금액입력",N12)))</formula>
    </cfRule>
  </conditionalFormatting>
  <conditionalFormatting sqref="M16:M18">
    <cfRule type="containsText" dxfId="173" priority="168" operator="containsText" text="부기명 입력">
      <formula>NOT(ISERROR(SEARCH("부기명 입력",M16)))</formula>
    </cfRule>
  </conditionalFormatting>
  <conditionalFormatting sqref="M16:M18">
    <cfRule type="containsText" dxfId="172" priority="167" operator="containsText" text="금액입력">
      <formula>NOT(ISERROR(SEARCH("금액입력",M16)))</formula>
    </cfRule>
  </conditionalFormatting>
  <conditionalFormatting sqref="N16:N18">
    <cfRule type="containsText" dxfId="171" priority="166" operator="containsText" text="금액입력">
      <formula>NOT(ISERROR(SEARCH("금액입력",N16)))</formula>
    </cfRule>
  </conditionalFormatting>
  <conditionalFormatting sqref="M16:M18">
    <cfRule type="containsText" dxfId="170" priority="165" operator="containsText" text="부기명 입력">
      <formula>NOT(ISERROR(SEARCH("부기명 입력",M16)))</formula>
    </cfRule>
  </conditionalFormatting>
  <conditionalFormatting sqref="M16:M18">
    <cfRule type="containsText" dxfId="169" priority="164" operator="containsText" text="금액입력">
      <formula>NOT(ISERROR(SEARCH("금액입력",M16)))</formula>
    </cfRule>
  </conditionalFormatting>
  <conditionalFormatting sqref="N16:N18">
    <cfRule type="containsText" dxfId="168" priority="163" operator="containsText" text="금액입력">
      <formula>NOT(ISERROR(SEARCH("금액입력",N16)))</formula>
    </cfRule>
  </conditionalFormatting>
  <conditionalFormatting sqref="M20:M22">
    <cfRule type="containsText" dxfId="167" priority="162" operator="containsText" text="부기명 입력">
      <formula>NOT(ISERROR(SEARCH("부기명 입력",M20)))</formula>
    </cfRule>
  </conditionalFormatting>
  <conditionalFormatting sqref="M20:M22">
    <cfRule type="containsText" dxfId="166" priority="161" operator="containsText" text="금액입력">
      <formula>NOT(ISERROR(SEARCH("금액입력",M20)))</formula>
    </cfRule>
  </conditionalFormatting>
  <conditionalFormatting sqref="N20:N22">
    <cfRule type="containsText" dxfId="165" priority="160" operator="containsText" text="금액입력">
      <formula>NOT(ISERROR(SEARCH("금액입력",N20)))</formula>
    </cfRule>
  </conditionalFormatting>
  <conditionalFormatting sqref="M20:M22">
    <cfRule type="containsText" dxfId="164" priority="159" operator="containsText" text="부기명 입력">
      <formula>NOT(ISERROR(SEARCH("부기명 입력",M20)))</formula>
    </cfRule>
  </conditionalFormatting>
  <conditionalFormatting sqref="M20:M22">
    <cfRule type="containsText" dxfId="163" priority="158" operator="containsText" text="금액입력">
      <formula>NOT(ISERROR(SEARCH("금액입력",M20)))</formula>
    </cfRule>
  </conditionalFormatting>
  <conditionalFormatting sqref="N20:N22">
    <cfRule type="containsText" dxfId="162" priority="157" operator="containsText" text="금액입력">
      <formula>NOT(ISERROR(SEARCH("금액입력",N20)))</formula>
    </cfRule>
  </conditionalFormatting>
  <conditionalFormatting sqref="M24:M26">
    <cfRule type="containsText" dxfId="161" priority="156" operator="containsText" text="부기명 입력">
      <formula>NOT(ISERROR(SEARCH("부기명 입력",M24)))</formula>
    </cfRule>
  </conditionalFormatting>
  <conditionalFormatting sqref="M24:M26">
    <cfRule type="containsText" dxfId="160" priority="155" operator="containsText" text="금액입력">
      <formula>NOT(ISERROR(SEARCH("금액입력",M24)))</formula>
    </cfRule>
  </conditionalFormatting>
  <conditionalFormatting sqref="N24:N26">
    <cfRule type="containsText" dxfId="159" priority="154" operator="containsText" text="금액입력">
      <formula>NOT(ISERROR(SEARCH("금액입력",N24)))</formula>
    </cfRule>
  </conditionalFormatting>
  <conditionalFormatting sqref="M24:M26">
    <cfRule type="containsText" dxfId="158" priority="153" operator="containsText" text="부기명 입력">
      <formula>NOT(ISERROR(SEARCH("부기명 입력",M24)))</formula>
    </cfRule>
  </conditionalFormatting>
  <conditionalFormatting sqref="M24:M26">
    <cfRule type="containsText" dxfId="157" priority="152" operator="containsText" text="금액입력">
      <formula>NOT(ISERROR(SEARCH("금액입력",M24)))</formula>
    </cfRule>
  </conditionalFormatting>
  <conditionalFormatting sqref="N24:N26">
    <cfRule type="containsText" dxfId="156" priority="151" operator="containsText" text="금액입력">
      <formula>NOT(ISERROR(SEARCH("금액입력",N24)))</formula>
    </cfRule>
  </conditionalFormatting>
  <conditionalFormatting sqref="M28:M30">
    <cfRule type="containsText" dxfId="155" priority="150" operator="containsText" text="부기명 입력">
      <formula>NOT(ISERROR(SEARCH("부기명 입력",M28)))</formula>
    </cfRule>
  </conditionalFormatting>
  <conditionalFormatting sqref="M28:M30">
    <cfRule type="containsText" dxfId="154" priority="149" operator="containsText" text="금액입력">
      <formula>NOT(ISERROR(SEARCH("금액입력",M28)))</formula>
    </cfRule>
  </conditionalFormatting>
  <conditionalFormatting sqref="N28:N30">
    <cfRule type="containsText" dxfId="153" priority="148" operator="containsText" text="금액입력">
      <formula>NOT(ISERROR(SEARCH("금액입력",N28)))</formula>
    </cfRule>
  </conditionalFormatting>
  <conditionalFormatting sqref="M28:M30">
    <cfRule type="containsText" dxfId="152" priority="147" operator="containsText" text="부기명 입력">
      <formula>NOT(ISERROR(SEARCH("부기명 입력",M28)))</formula>
    </cfRule>
  </conditionalFormatting>
  <conditionalFormatting sqref="M28:M30">
    <cfRule type="containsText" dxfId="151" priority="146" operator="containsText" text="금액입력">
      <formula>NOT(ISERROR(SEARCH("금액입력",M28)))</formula>
    </cfRule>
  </conditionalFormatting>
  <conditionalFormatting sqref="N28:N30">
    <cfRule type="containsText" dxfId="150" priority="145" operator="containsText" text="금액입력">
      <formula>NOT(ISERROR(SEARCH("금액입력",N28)))</formula>
    </cfRule>
  </conditionalFormatting>
  <conditionalFormatting sqref="M32:M34">
    <cfRule type="containsText" dxfId="149" priority="144" operator="containsText" text="부기명 입력">
      <formula>NOT(ISERROR(SEARCH("부기명 입력",M32)))</formula>
    </cfRule>
  </conditionalFormatting>
  <conditionalFormatting sqref="M32:M34">
    <cfRule type="containsText" dxfId="148" priority="143" operator="containsText" text="금액입력">
      <formula>NOT(ISERROR(SEARCH("금액입력",M32)))</formula>
    </cfRule>
  </conditionalFormatting>
  <conditionalFormatting sqref="N32:N34">
    <cfRule type="containsText" dxfId="147" priority="142" operator="containsText" text="금액입력">
      <formula>NOT(ISERROR(SEARCH("금액입력",N32)))</formula>
    </cfRule>
  </conditionalFormatting>
  <conditionalFormatting sqref="M32:M34">
    <cfRule type="containsText" dxfId="146" priority="141" operator="containsText" text="부기명 입력">
      <formula>NOT(ISERROR(SEARCH("부기명 입력",M32)))</formula>
    </cfRule>
  </conditionalFormatting>
  <conditionalFormatting sqref="M32:M34">
    <cfRule type="containsText" dxfId="145" priority="140" operator="containsText" text="금액입력">
      <formula>NOT(ISERROR(SEARCH("금액입력",M32)))</formula>
    </cfRule>
  </conditionalFormatting>
  <conditionalFormatting sqref="N32:N34">
    <cfRule type="containsText" dxfId="144" priority="139" operator="containsText" text="금액입력">
      <formula>NOT(ISERROR(SEARCH("금액입력",N32)))</formula>
    </cfRule>
  </conditionalFormatting>
  <conditionalFormatting sqref="M36:M38">
    <cfRule type="containsText" dxfId="143" priority="138" operator="containsText" text="부기명 입력">
      <formula>NOT(ISERROR(SEARCH("부기명 입력",M36)))</formula>
    </cfRule>
  </conditionalFormatting>
  <conditionalFormatting sqref="M36:M38">
    <cfRule type="containsText" dxfId="142" priority="137" operator="containsText" text="금액입력">
      <formula>NOT(ISERROR(SEARCH("금액입력",M36)))</formula>
    </cfRule>
  </conditionalFormatting>
  <conditionalFormatting sqref="N36:N38">
    <cfRule type="containsText" dxfId="141" priority="136" operator="containsText" text="금액입력">
      <formula>NOT(ISERROR(SEARCH("금액입력",N36)))</formula>
    </cfRule>
  </conditionalFormatting>
  <conditionalFormatting sqref="M36:M38">
    <cfRule type="containsText" dxfId="140" priority="135" operator="containsText" text="부기명 입력">
      <formula>NOT(ISERROR(SEARCH("부기명 입력",M36)))</formula>
    </cfRule>
  </conditionalFormatting>
  <conditionalFormatting sqref="M36:M38">
    <cfRule type="containsText" dxfId="139" priority="134" operator="containsText" text="금액입력">
      <formula>NOT(ISERROR(SEARCH("금액입력",M36)))</formula>
    </cfRule>
  </conditionalFormatting>
  <conditionalFormatting sqref="N36:N38">
    <cfRule type="containsText" dxfId="138" priority="133" operator="containsText" text="금액입력">
      <formula>NOT(ISERROR(SEARCH("금액입력",N36)))</formula>
    </cfRule>
  </conditionalFormatting>
  <conditionalFormatting sqref="M40:M42">
    <cfRule type="containsText" dxfId="137" priority="132" operator="containsText" text="부기명 입력">
      <formula>NOT(ISERROR(SEARCH("부기명 입력",M40)))</formula>
    </cfRule>
  </conditionalFormatting>
  <conditionalFormatting sqref="M40:M42">
    <cfRule type="containsText" dxfId="136" priority="131" operator="containsText" text="금액입력">
      <formula>NOT(ISERROR(SEARCH("금액입력",M40)))</formula>
    </cfRule>
  </conditionalFormatting>
  <conditionalFormatting sqref="N40:N42">
    <cfRule type="containsText" dxfId="135" priority="130" operator="containsText" text="금액입력">
      <formula>NOT(ISERROR(SEARCH("금액입력",N40)))</formula>
    </cfRule>
  </conditionalFormatting>
  <conditionalFormatting sqref="M40:M42">
    <cfRule type="containsText" dxfId="134" priority="129" operator="containsText" text="부기명 입력">
      <formula>NOT(ISERROR(SEARCH("부기명 입력",M40)))</formula>
    </cfRule>
  </conditionalFormatting>
  <conditionalFormatting sqref="M40:M42">
    <cfRule type="containsText" dxfId="133" priority="128" operator="containsText" text="금액입력">
      <formula>NOT(ISERROR(SEARCH("금액입력",M40)))</formula>
    </cfRule>
  </conditionalFormatting>
  <conditionalFormatting sqref="N40:N42">
    <cfRule type="containsText" dxfId="132" priority="127" operator="containsText" text="금액입력">
      <formula>NOT(ISERROR(SEARCH("금액입력",N40)))</formula>
    </cfRule>
  </conditionalFormatting>
  <conditionalFormatting sqref="M44:M46">
    <cfRule type="containsText" dxfId="131" priority="126" operator="containsText" text="부기명 입력">
      <formula>NOT(ISERROR(SEARCH("부기명 입력",M44)))</formula>
    </cfRule>
  </conditionalFormatting>
  <conditionalFormatting sqref="M44:M46">
    <cfRule type="containsText" dxfId="130" priority="125" operator="containsText" text="금액입력">
      <formula>NOT(ISERROR(SEARCH("금액입력",M44)))</formula>
    </cfRule>
  </conditionalFormatting>
  <conditionalFormatting sqref="N44:N46">
    <cfRule type="containsText" dxfId="129" priority="124" operator="containsText" text="금액입력">
      <formula>NOT(ISERROR(SEARCH("금액입력",N44)))</formula>
    </cfRule>
  </conditionalFormatting>
  <conditionalFormatting sqref="M44:M46">
    <cfRule type="containsText" dxfId="128" priority="123" operator="containsText" text="부기명 입력">
      <formula>NOT(ISERROR(SEARCH("부기명 입력",M44)))</formula>
    </cfRule>
  </conditionalFormatting>
  <conditionalFormatting sqref="M44:M46">
    <cfRule type="containsText" dxfId="127" priority="122" operator="containsText" text="금액입력">
      <formula>NOT(ISERROR(SEARCH("금액입력",M44)))</formula>
    </cfRule>
  </conditionalFormatting>
  <conditionalFormatting sqref="N44:N46">
    <cfRule type="containsText" dxfId="126" priority="121" operator="containsText" text="금액입력">
      <formula>NOT(ISERROR(SEARCH("금액입력",N44)))</formula>
    </cfRule>
  </conditionalFormatting>
  <conditionalFormatting sqref="M48:M50">
    <cfRule type="containsText" dxfId="125" priority="120" operator="containsText" text="부기명 입력">
      <formula>NOT(ISERROR(SEARCH("부기명 입력",M48)))</formula>
    </cfRule>
  </conditionalFormatting>
  <conditionalFormatting sqref="M48:M50">
    <cfRule type="containsText" dxfId="124" priority="119" operator="containsText" text="금액입력">
      <formula>NOT(ISERROR(SEARCH("금액입력",M48)))</formula>
    </cfRule>
  </conditionalFormatting>
  <conditionalFormatting sqref="N48:N50">
    <cfRule type="containsText" dxfId="123" priority="118" operator="containsText" text="금액입력">
      <formula>NOT(ISERROR(SEARCH("금액입력",N48)))</formula>
    </cfRule>
  </conditionalFormatting>
  <conditionalFormatting sqref="M48:M50">
    <cfRule type="containsText" dxfId="122" priority="117" operator="containsText" text="부기명 입력">
      <formula>NOT(ISERROR(SEARCH("부기명 입력",M48)))</formula>
    </cfRule>
  </conditionalFormatting>
  <conditionalFormatting sqref="M48:M50">
    <cfRule type="containsText" dxfId="121" priority="116" operator="containsText" text="금액입력">
      <formula>NOT(ISERROR(SEARCH("금액입력",M48)))</formula>
    </cfRule>
  </conditionalFormatting>
  <conditionalFormatting sqref="N48:N50">
    <cfRule type="containsText" dxfId="120" priority="115" operator="containsText" text="금액입력">
      <formula>NOT(ISERROR(SEARCH("금액입력",N48)))</formula>
    </cfRule>
  </conditionalFormatting>
  <conditionalFormatting sqref="M52:M54">
    <cfRule type="containsText" dxfId="119" priority="114" operator="containsText" text="부기명 입력">
      <formula>NOT(ISERROR(SEARCH("부기명 입력",M52)))</formula>
    </cfRule>
  </conditionalFormatting>
  <conditionalFormatting sqref="M52:M54">
    <cfRule type="containsText" dxfId="118" priority="113" operator="containsText" text="금액입력">
      <formula>NOT(ISERROR(SEARCH("금액입력",M52)))</formula>
    </cfRule>
  </conditionalFormatting>
  <conditionalFormatting sqref="N52:N54">
    <cfRule type="containsText" dxfId="117" priority="112" operator="containsText" text="금액입력">
      <formula>NOT(ISERROR(SEARCH("금액입력",N52)))</formula>
    </cfRule>
  </conditionalFormatting>
  <conditionalFormatting sqref="M52:M54">
    <cfRule type="containsText" dxfId="116" priority="111" operator="containsText" text="부기명 입력">
      <formula>NOT(ISERROR(SEARCH("부기명 입력",M52)))</formula>
    </cfRule>
  </conditionalFormatting>
  <conditionalFormatting sqref="M52:M54">
    <cfRule type="containsText" dxfId="115" priority="110" operator="containsText" text="금액입력">
      <formula>NOT(ISERROR(SEARCH("금액입력",M52)))</formula>
    </cfRule>
  </conditionalFormatting>
  <conditionalFormatting sqref="N52:N54">
    <cfRule type="containsText" dxfId="114" priority="109" operator="containsText" text="금액입력">
      <formula>NOT(ISERROR(SEARCH("금액입력",N52)))</formula>
    </cfRule>
  </conditionalFormatting>
  <conditionalFormatting sqref="M56:M58">
    <cfRule type="containsText" dxfId="113" priority="108" operator="containsText" text="부기명 입력">
      <formula>NOT(ISERROR(SEARCH("부기명 입력",M56)))</formula>
    </cfRule>
  </conditionalFormatting>
  <conditionalFormatting sqref="M56:M58">
    <cfRule type="containsText" dxfId="112" priority="107" operator="containsText" text="금액입력">
      <formula>NOT(ISERROR(SEARCH("금액입력",M56)))</formula>
    </cfRule>
  </conditionalFormatting>
  <conditionalFormatting sqref="N56:N58">
    <cfRule type="containsText" dxfId="111" priority="106" operator="containsText" text="금액입력">
      <formula>NOT(ISERROR(SEARCH("금액입력",N56)))</formula>
    </cfRule>
  </conditionalFormatting>
  <conditionalFormatting sqref="M56:M58">
    <cfRule type="containsText" dxfId="110" priority="105" operator="containsText" text="부기명 입력">
      <formula>NOT(ISERROR(SEARCH("부기명 입력",M56)))</formula>
    </cfRule>
  </conditionalFormatting>
  <conditionalFormatting sqref="M56:M58">
    <cfRule type="containsText" dxfId="109" priority="104" operator="containsText" text="금액입력">
      <formula>NOT(ISERROR(SEARCH("금액입력",M56)))</formula>
    </cfRule>
  </conditionalFormatting>
  <conditionalFormatting sqref="N56:N58">
    <cfRule type="containsText" dxfId="108" priority="103" operator="containsText" text="금액입력">
      <formula>NOT(ISERROR(SEARCH("금액입력",N56)))</formula>
    </cfRule>
  </conditionalFormatting>
  <conditionalFormatting sqref="M60:M62">
    <cfRule type="containsText" dxfId="107" priority="102" operator="containsText" text="부기명 입력">
      <formula>NOT(ISERROR(SEARCH("부기명 입력",M60)))</formula>
    </cfRule>
  </conditionalFormatting>
  <conditionalFormatting sqref="M60:M62">
    <cfRule type="containsText" dxfId="106" priority="101" operator="containsText" text="금액입력">
      <formula>NOT(ISERROR(SEARCH("금액입력",M60)))</formula>
    </cfRule>
  </conditionalFormatting>
  <conditionalFormatting sqref="N60:N62">
    <cfRule type="containsText" dxfId="105" priority="100" operator="containsText" text="금액입력">
      <formula>NOT(ISERROR(SEARCH("금액입력",N60)))</formula>
    </cfRule>
  </conditionalFormatting>
  <conditionalFormatting sqref="M60:M62">
    <cfRule type="containsText" dxfId="104" priority="99" operator="containsText" text="부기명 입력">
      <formula>NOT(ISERROR(SEARCH("부기명 입력",M60)))</formula>
    </cfRule>
  </conditionalFormatting>
  <conditionalFormatting sqref="M60:M62">
    <cfRule type="containsText" dxfId="103" priority="98" operator="containsText" text="금액입력">
      <formula>NOT(ISERROR(SEARCH("금액입력",M60)))</formula>
    </cfRule>
  </conditionalFormatting>
  <conditionalFormatting sqref="N60:N62">
    <cfRule type="containsText" dxfId="102" priority="97" operator="containsText" text="금액입력">
      <formula>NOT(ISERROR(SEARCH("금액입력",N60)))</formula>
    </cfRule>
  </conditionalFormatting>
  <conditionalFormatting sqref="M64:M66">
    <cfRule type="containsText" dxfId="101" priority="96" operator="containsText" text="부기명 입력">
      <formula>NOT(ISERROR(SEARCH("부기명 입력",M64)))</formula>
    </cfRule>
  </conditionalFormatting>
  <conditionalFormatting sqref="M64:M66">
    <cfRule type="containsText" dxfId="100" priority="95" operator="containsText" text="금액입력">
      <formula>NOT(ISERROR(SEARCH("금액입력",M64)))</formula>
    </cfRule>
  </conditionalFormatting>
  <conditionalFormatting sqref="N64:N66">
    <cfRule type="containsText" dxfId="99" priority="94" operator="containsText" text="금액입력">
      <formula>NOT(ISERROR(SEARCH("금액입력",N64)))</formula>
    </cfRule>
  </conditionalFormatting>
  <conditionalFormatting sqref="M64:M66">
    <cfRule type="containsText" dxfId="98" priority="93" operator="containsText" text="부기명 입력">
      <formula>NOT(ISERROR(SEARCH("부기명 입력",M64)))</formula>
    </cfRule>
  </conditionalFormatting>
  <conditionalFormatting sqref="M64:M66">
    <cfRule type="containsText" dxfId="97" priority="92" operator="containsText" text="금액입력">
      <formula>NOT(ISERROR(SEARCH("금액입력",M64)))</formula>
    </cfRule>
  </conditionalFormatting>
  <conditionalFormatting sqref="N64:N66">
    <cfRule type="containsText" dxfId="96" priority="91" operator="containsText" text="금액입력">
      <formula>NOT(ISERROR(SEARCH("금액입력",N64)))</formula>
    </cfRule>
  </conditionalFormatting>
  <conditionalFormatting sqref="M68:M70">
    <cfRule type="containsText" dxfId="95" priority="90" operator="containsText" text="부기명 입력">
      <formula>NOT(ISERROR(SEARCH("부기명 입력",M68)))</formula>
    </cfRule>
  </conditionalFormatting>
  <conditionalFormatting sqref="M68:M70">
    <cfRule type="containsText" dxfId="94" priority="89" operator="containsText" text="금액입력">
      <formula>NOT(ISERROR(SEARCH("금액입력",M68)))</formula>
    </cfRule>
  </conditionalFormatting>
  <conditionalFormatting sqref="N68:N70">
    <cfRule type="containsText" dxfId="93" priority="88" operator="containsText" text="금액입력">
      <formula>NOT(ISERROR(SEARCH("금액입력",N68)))</formula>
    </cfRule>
  </conditionalFormatting>
  <conditionalFormatting sqref="M68:M70">
    <cfRule type="containsText" dxfId="92" priority="87" operator="containsText" text="부기명 입력">
      <formula>NOT(ISERROR(SEARCH("부기명 입력",M68)))</formula>
    </cfRule>
  </conditionalFormatting>
  <conditionalFormatting sqref="M68:M70">
    <cfRule type="containsText" dxfId="91" priority="86" operator="containsText" text="금액입력">
      <formula>NOT(ISERROR(SEARCH("금액입력",M68)))</formula>
    </cfRule>
  </conditionalFormatting>
  <conditionalFormatting sqref="N68:N70">
    <cfRule type="containsText" dxfId="90" priority="85" operator="containsText" text="금액입력">
      <formula>NOT(ISERROR(SEARCH("금액입력",N68)))</formula>
    </cfRule>
  </conditionalFormatting>
  <conditionalFormatting sqref="M72:M74">
    <cfRule type="containsText" dxfId="89" priority="84" operator="containsText" text="부기명 입력">
      <formula>NOT(ISERROR(SEARCH("부기명 입력",M72)))</formula>
    </cfRule>
  </conditionalFormatting>
  <conditionalFormatting sqref="M72:M74">
    <cfRule type="containsText" dxfId="88" priority="83" operator="containsText" text="금액입력">
      <formula>NOT(ISERROR(SEARCH("금액입력",M72)))</formula>
    </cfRule>
  </conditionalFormatting>
  <conditionalFormatting sqref="N72:N74">
    <cfRule type="containsText" dxfId="87" priority="82" operator="containsText" text="금액입력">
      <formula>NOT(ISERROR(SEARCH("금액입력",N72)))</formula>
    </cfRule>
  </conditionalFormatting>
  <conditionalFormatting sqref="M72:M74">
    <cfRule type="containsText" dxfId="86" priority="81" operator="containsText" text="부기명 입력">
      <formula>NOT(ISERROR(SEARCH("부기명 입력",M72)))</formula>
    </cfRule>
  </conditionalFormatting>
  <conditionalFormatting sqref="M72:M74">
    <cfRule type="containsText" dxfId="85" priority="80" operator="containsText" text="금액입력">
      <formula>NOT(ISERROR(SEARCH("금액입력",M72)))</formula>
    </cfRule>
  </conditionalFormatting>
  <conditionalFormatting sqref="N72:N74">
    <cfRule type="containsText" dxfId="84" priority="79" operator="containsText" text="금액입력">
      <formula>NOT(ISERROR(SEARCH("금액입력",N72)))</formula>
    </cfRule>
  </conditionalFormatting>
  <conditionalFormatting sqref="M76:M78">
    <cfRule type="containsText" dxfId="83" priority="78" operator="containsText" text="부기명 입력">
      <formula>NOT(ISERROR(SEARCH("부기명 입력",M76)))</formula>
    </cfRule>
  </conditionalFormatting>
  <conditionalFormatting sqref="M76:M78">
    <cfRule type="containsText" dxfId="82" priority="77" operator="containsText" text="금액입력">
      <formula>NOT(ISERROR(SEARCH("금액입력",M76)))</formula>
    </cfRule>
  </conditionalFormatting>
  <conditionalFormatting sqref="N76:N78">
    <cfRule type="containsText" dxfId="81" priority="76" operator="containsText" text="금액입력">
      <formula>NOT(ISERROR(SEARCH("금액입력",N76)))</formula>
    </cfRule>
  </conditionalFormatting>
  <conditionalFormatting sqref="M76:M78">
    <cfRule type="containsText" dxfId="80" priority="75" operator="containsText" text="부기명 입력">
      <formula>NOT(ISERROR(SEARCH("부기명 입력",M76)))</formula>
    </cfRule>
  </conditionalFormatting>
  <conditionalFormatting sqref="M76:M78">
    <cfRule type="containsText" dxfId="79" priority="74" operator="containsText" text="금액입력">
      <formula>NOT(ISERROR(SEARCH("금액입력",M76)))</formula>
    </cfRule>
  </conditionalFormatting>
  <conditionalFormatting sqref="N76:N78">
    <cfRule type="containsText" dxfId="78" priority="73" operator="containsText" text="금액입력">
      <formula>NOT(ISERROR(SEARCH("금액입력",N76)))</formula>
    </cfRule>
  </conditionalFormatting>
  <conditionalFormatting sqref="M80:M82">
    <cfRule type="containsText" dxfId="77" priority="72" operator="containsText" text="부기명 입력">
      <formula>NOT(ISERROR(SEARCH("부기명 입력",M80)))</formula>
    </cfRule>
  </conditionalFormatting>
  <conditionalFormatting sqref="M80:M82">
    <cfRule type="containsText" dxfId="76" priority="71" operator="containsText" text="금액입력">
      <formula>NOT(ISERROR(SEARCH("금액입력",M80)))</formula>
    </cfRule>
  </conditionalFormatting>
  <conditionalFormatting sqref="N80:N82">
    <cfRule type="containsText" dxfId="75" priority="70" operator="containsText" text="금액입력">
      <formula>NOT(ISERROR(SEARCH("금액입력",N80)))</formula>
    </cfRule>
  </conditionalFormatting>
  <conditionalFormatting sqref="M80:M82">
    <cfRule type="containsText" dxfId="74" priority="69" operator="containsText" text="부기명 입력">
      <formula>NOT(ISERROR(SEARCH("부기명 입력",M80)))</formula>
    </cfRule>
  </conditionalFormatting>
  <conditionalFormatting sqref="M80:M82">
    <cfRule type="containsText" dxfId="73" priority="68" operator="containsText" text="금액입력">
      <formula>NOT(ISERROR(SEARCH("금액입력",M80)))</formula>
    </cfRule>
  </conditionalFormatting>
  <conditionalFormatting sqref="N80:N82">
    <cfRule type="containsText" dxfId="72" priority="67" operator="containsText" text="금액입력">
      <formula>NOT(ISERROR(SEARCH("금액입력",N80)))</formula>
    </cfRule>
  </conditionalFormatting>
  <conditionalFormatting sqref="M84:M86">
    <cfRule type="containsText" dxfId="71" priority="66" operator="containsText" text="부기명 입력">
      <formula>NOT(ISERROR(SEARCH("부기명 입력",M84)))</formula>
    </cfRule>
  </conditionalFormatting>
  <conditionalFormatting sqref="M84:M86">
    <cfRule type="containsText" dxfId="70" priority="65" operator="containsText" text="금액입력">
      <formula>NOT(ISERROR(SEARCH("금액입력",M84)))</formula>
    </cfRule>
  </conditionalFormatting>
  <conditionalFormatting sqref="N84:N86">
    <cfRule type="containsText" dxfId="69" priority="64" operator="containsText" text="금액입력">
      <formula>NOT(ISERROR(SEARCH("금액입력",N84)))</formula>
    </cfRule>
  </conditionalFormatting>
  <conditionalFormatting sqref="M84:M86">
    <cfRule type="containsText" dxfId="68" priority="63" operator="containsText" text="부기명 입력">
      <formula>NOT(ISERROR(SEARCH("부기명 입력",M84)))</formula>
    </cfRule>
  </conditionalFormatting>
  <conditionalFormatting sqref="M84:M86">
    <cfRule type="containsText" dxfId="67" priority="62" operator="containsText" text="금액입력">
      <formula>NOT(ISERROR(SEARCH("금액입력",M84)))</formula>
    </cfRule>
  </conditionalFormatting>
  <conditionalFormatting sqref="N84:N86">
    <cfRule type="containsText" dxfId="66" priority="61" operator="containsText" text="금액입력">
      <formula>NOT(ISERROR(SEARCH("금액입력",N84)))</formula>
    </cfRule>
  </conditionalFormatting>
  <conditionalFormatting sqref="M88:M90">
    <cfRule type="containsText" dxfId="65" priority="60" operator="containsText" text="부기명 입력">
      <formula>NOT(ISERROR(SEARCH("부기명 입력",M88)))</formula>
    </cfRule>
  </conditionalFormatting>
  <conditionalFormatting sqref="M88:M90">
    <cfRule type="containsText" dxfId="64" priority="59" operator="containsText" text="금액입력">
      <formula>NOT(ISERROR(SEARCH("금액입력",M88)))</formula>
    </cfRule>
  </conditionalFormatting>
  <conditionalFormatting sqref="N88:N90">
    <cfRule type="containsText" dxfId="63" priority="58" operator="containsText" text="금액입력">
      <formula>NOT(ISERROR(SEARCH("금액입력",N88)))</formula>
    </cfRule>
  </conditionalFormatting>
  <conditionalFormatting sqref="M88:M90">
    <cfRule type="containsText" dxfId="62" priority="57" operator="containsText" text="부기명 입력">
      <formula>NOT(ISERROR(SEARCH("부기명 입력",M88)))</formula>
    </cfRule>
  </conditionalFormatting>
  <conditionalFormatting sqref="M88:M90">
    <cfRule type="containsText" dxfId="61" priority="56" operator="containsText" text="금액입력">
      <formula>NOT(ISERROR(SEARCH("금액입력",M88)))</formula>
    </cfRule>
  </conditionalFormatting>
  <conditionalFormatting sqref="N88:N90">
    <cfRule type="containsText" dxfId="60" priority="55" operator="containsText" text="금액입력">
      <formula>NOT(ISERROR(SEARCH("금액입력",N88)))</formula>
    </cfRule>
  </conditionalFormatting>
  <conditionalFormatting sqref="M92:M94">
    <cfRule type="containsText" dxfId="59" priority="54" operator="containsText" text="부기명 입력">
      <formula>NOT(ISERROR(SEARCH("부기명 입력",M92)))</formula>
    </cfRule>
  </conditionalFormatting>
  <conditionalFormatting sqref="M92:M94">
    <cfRule type="containsText" dxfId="58" priority="53" operator="containsText" text="금액입력">
      <formula>NOT(ISERROR(SEARCH("금액입력",M92)))</formula>
    </cfRule>
  </conditionalFormatting>
  <conditionalFormatting sqref="N92:N94">
    <cfRule type="containsText" dxfId="57" priority="52" operator="containsText" text="금액입력">
      <formula>NOT(ISERROR(SEARCH("금액입력",N92)))</formula>
    </cfRule>
  </conditionalFormatting>
  <conditionalFormatting sqref="M92:M94">
    <cfRule type="containsText" dxfId="56" priority="51" operator="containsText" text="부기명 입력">
      <formula>NOT(ISERROR(SEARCH("부기명 입력",M92)))</formula>
    </cfRule>
  </conditionalFormatting>
  <conditionalFormatting sqref="M92:M94">
    <cfRule type="containsText" dxfId="55" priority="50" operator="containsText" text="금액입력">
      <formula>NOT(ISERROR(SEARCH("금액입력",M92)))</formula>
    </cfRule>
  </conditionalFormatting>
  <conditionalFormatting sqref="N92:N94">
    <cfRule type="containsText" dxfId="54" priority="49" operator="containsText" text="금액입력">
      <formula>NOT(ISERROR(SEARCH("금액입력",N92)))</formula>
    </cfRule>
  </conditionalFormatting>
  <conditionalFormatting sqref="M96:M98">
    <cfRule type="containsText" dxfId="53" priority="48" operator="containsText" text="부기명 입력">
      <formula>NOT(ISERROR(SEARCH("부기명 입력",M96)))</formula>
    </cfRule>
  </conditionalFormatting>
  <conditionalFormatting sqref="M96:M98">
    <cfRule type="containsText" dxfId="52" priority="47" operator="containsText" text="금액입력">
      <formula>NOT(ISERROR(SEARCH("금액입력",M96)))</formula>
    </cfRule>
  </conditionalFormatting>
  <conditionalFormatting sqref="N96:N98">
    <cfRule type="containsText" dxfId="51" priority="46" operator="containsText" text="금액입력">
      <formula>NOT(ISERROR(SEARCH("금액입력",N96)))</formula>
    </cfRule>
  </conditionalFormatting>
  <conditionalFormatting sqref="M96:M98">
    <cfRule type="containsText" dxfId="50" priority="45" operator="containsText" text="부기명 입력">
      <formula>NOT(ISERROR(SEARCH("부기명 입력",M96)))</formula>
    </cfRule>
  </conditionalFormatting>
  <conditionalFormatting sqref="M96:M98">
    <cfRule type="containsText" dxfId="49" priority="44" operator="containsText" text="금액입력">
      <formula>NOT(ISERROR(SEARCH("금액입력",M96)))</formula>
    </cfRule>
  </conditionalFormatting>
  <conditionalFormatting sqref="N96:N98">
    <cfRule type="containsText" dxfId="48" priority="43" operator="containsText" text="금액입력">
      <formula>NOT(ISERROR(SEARCH("금액입력",N96)))</formula>
    </cfRule>
  </conditionalFormatting>
  <conditionalFormatting sqref="M100:M102">
    <cfRule type="containsText" dxfId="47" priority="42" operator="containsText" text="부기명 입력">
      <formula>NOT(ISERROR(SEARCH("부기명 입력",M100)))</formula>
    </cfRule>
  </conditionalFormatting>
  <conditionalFormatting sqref="M100:M102">
    <cfRule type="containsText" dxfId="46" priority="41" operator="containsText" text="금액입력">
      <formula>NOT(ISERROR(SEARCH("금액입력",M100)))</formula>
    </cfRule>
  </conditionalFormatting>
  <conditionalFormatting sqref="N100:N102">
    <cfRule type="containsText" dxfId="45" priority="40" operator="containsText" text="금액입력">
      <formula>NOT(ISERROR(SEARCH("금액입력",N100)))</formula>
    </cfRule>
  </conditionalFormatting>
  <conditionalFormatting sqref="M100:M102">
    <cfRule type="containsText" dxfId="44" priority="39" operator="containsText" text="부기명 입력">
      <formula>NOT(ISERROR(SEARCH("부기명 입력",M100)))</formula>
    </cfRule>
  </conditionalFormatting>
  <conditionalFormatting sqref="M100:M102">
    <cfRule type="containsText" dxfId="43" priority="38" operator="containsText" text="금액입력">
      <formula>NOT(ISERROR(SEARCH("금액입력",M100)))</formula>
    </cfRule>
  </conditionalFormatting>
  <conditionalFormatting sqref="N100:N102">
    <cfRule type="containsText" dxfId="42" priority="37" operator="containsText" text="금액입력">
      <formula>NOT(ISERROR(SEARCH("금액입력",N100)))</formula>
    </cfRule>
  </conditionalFormatting>
  <conditionalFormatting sqref="M104:M106">
    <cfRule type="containsText" dxfId="41" priority="36" operator="containsText" text="부기명 입력">
      <formula>NOT(ISERROR(SEARCH("부기명 입력",M104)))</formula>
    </cfRule>
  </conditionalFormatting>
  <conditionalFormatting sqref="M104:M106">
    <cfRule type="containsText" dxfId="40" priority="35" operator="containsText" text="금액입력">
      <formula>NOT(ISERROR(SEARCH("금액입력",M104)))</formula>
    </cfRule>
  </conditionalFormatting>
  <conditionalFormatting sqref="N104:N106">
    <cfRule type="containsText" dxfId="39" priority="34" operator="containsText" text="금액입력">
      <formula>NOT(ISERROR(SEARCH("금액입력",N104)))</formula>
    </cfRule>
  </conditionalFormatting>
  <conditionalFormatting sqref="M104:M106">
    <cfRule type="containsText" dxfId="38" priority="33" operator="containsText" text="부기명 입력">
      <formula>NOT(ISERROR(SEARCH("부기명 입력",M104)))</formula>
    </cfRule>
  </conditionalFormatting>
  <conditionalFormatting sqref="M104:M106">
    <cfRule type="containsText" dxfId="37" priority="32" operator="containsText" text="금액입력">
      <formula>NOT(ISERROR(SEARCH("금액입력",M104)))</formula>
    </cfRule>
  </conditionalFormatting>
  <conditionalFormatting sqref="N104:N106">
    <cfRule type="containsText" dxfId="36" priority="31" operator="containsText" text="금액입력">
      <formula>NOT(ISERROR(SEARCH("금액입력",N104)))</formula>
    </cfRule>
  </conditionalFormatting>
  <conditionalFormatting sqref="M108:M110">
    <cfRule type="containsText" dxfId="35" priority="30" operator="containsText" text="부기명 입력">
      <formula>NOT(ISERROR(SEARCH("부기명 입력",M108)))</formula>
    </cfRule>
  </conditionalFormatting>
  <conditionalFormatting sqref="M108:M110">
    <cfRule type="containsText" dxfId="34" priority="29" operator="containsText" text="금액입력">
      <formula>NOT(ISERROR(SEARCH("금액입력",M108)))</formula>
    </cfRule>
  </conditionalFormatting>
  <conditionalFormatting sqref="N108:N110">
    <cfRule type="containsText" dxfId="33" priority="28" operator="containsText" text="금액입력">
      <formula>NOT(ISERROR(SEARCH("금액입력",N108)))</formula>
    </cfRule>
  </conditionalFormatting>
  <conditionalFormatting sqref="M108:M110">
    <cfRule type="containsText" dxfId="32" priority="27" operator="containsText" text="부기명 입력">
      <formula>NOT(ISERROR(SEARCH("부기명 입력",M108)))</formula>
    </cfRule>
  </conditionalFormatting>
  <conditionalFormatting sqref="M108:M110">
    <cfRule type="containsText" dxfId="31" priority="26" operator="containsText" text="금액입력">
      <formula>NOT(ISERROR(SEARCH("금액입력",M108)))</formula>
    </cfRule>
  </conditionalFormatting>
  <conditionalFormatting sqref="N108:N110">
    <cfRule type="containsText" dxfId="30" priority="25" operator="containsText" text="금액입력">
      <formula>NOT(ISERROR(SEARCH("금액입력",N108)))</formula>
    </cfRule>
  </conditionalFormatting>
  <conditionalFormatting sqref="M112:M114">
    <cfRule type="containsText" dxfId="29" priority="24" operator="containsText" text="부기명 입력">
      <formula>NOT(ISERROR(SEARCH("부기명 입력",M112)))</formula>
    </cfRule>
  </conditionalFormatting>
  <conditionalFormatting sqref="M112:M114">
    <cfRule type="containsText" dxfId="28" priority="23" operator="containsText" text="금액입력">
      <formula>NOT(ISERROR(SEARCH("금액입력",M112)))</formula>
    </cfRule>
  </conditionalFormatting>
  <conditionalFormatting sqref="N112:N114">
    <cfRule type="containsText" dxfId="27" priority="22" operator="containsText" text="금액입력">
      <formula>NOT(ISERROR(SEARCH("금액입력",N112)))</formula>
    </cfRule>
  </conditionalFormatting>
  <conditionalFormatting sqref="M112:M114">
    <cfRule type="containsText" dxfId="26" priority="21" operator="containsText" text="부기명 입력">
      <formula>NOT(ISERROR(SEARCH("부기명 입력",M112)))</formula>
    </cfRule>
  </conditionalFormatting>
  <conditionalFormatting sqref="M112:M114">
    <cfRule type="containsText" dxfId="25" priority="20" operator="containsText" text="금액입력">
      <formula>NOT(ISERROR(SEARCH("금액입력",M112)))</formula>
    </cfRule>
  </conditionalFormatting>
  <conditionalFormatting sqref="N112:N114">
    <cfRule type="containsText" dxfId="24" priority="19" operator="containsText" text="금액입력">
      <formula>NOT(ISERROR(SEARCH("금액입력",N112)))</formula>
    </cfRule>
  </conditionalFormatting>
  <conditionalFormatting sqref="M116:M118">
    <cfRule type="containsText" dxfId="23" priority="18" operator="containsText" text="부기명 입력">
      <formula>NOT(ISERROR(SEARCH("부기명 입력",M116)))</formula>
    </cfRule>
  </conditionalFormatting>
  <conditionalFormatting sqref="M116:M118">
    <cfRule type="containsText" dxfId="22" priority="17" operator="containsText" text="금액입력">
      <formula>NOT(ISERROR(SEARCH("금액입력",M116)))</formula>
    </cfRule>
  </conditionalFormatting>
  <conditionalFormatting sqref="N116:N118">
    <cfRule type="containsText" dxfId="21" priority="16" operator="containsText" text="금액입력">
      <formula>NOT(ISERROR(SEARCH("금액입력",N116)))</formula>
    </cfRule>
  </conditionalFormatting>
  <conditionalFormatting sqref="M116:M118">
    <cfRule type="containsText" dxfId="20" priority="15" operator="containsText" text="부기명 입력">
      <formula>NOT(ISERROR(SEARCH("부기명 입력",M116)))</formula>
    </cfRule>
  </conditionalFormatting>
  <conditionalFormatting sqref="M116:M118">
    <cfRule type="containsText" dxfId="19" priority="14" operator="containsText" text="금액입력">
      <formula>NOT(ISERROR(SEARCH("금액입력",M116)))</formula>
    </cfRule>
  </conditionalFormatting>
  <conditionalFormatting sqref="N116:N118">
    <cfRule type="containsText" dxfId="18" priority="13" operator="containsText" text="금액입력">
      <formula>NOT(ISERROR(SEARCH("금액입력",N116)))</formula>
    </cfRule>
  </conditionalFormatting>
  <conditionalFormatting sqref="M120:M122">
    <cfRule type="containsText" dxfId="17" priority="12" operator="containsText" text="부기명 입력">
      <formula>NOT(ISERROR(SEARCH("부기명 입력",M120)))</formula>
    </cfRule>
  </conditionalFormatting>
  <conditionalFormatting sqref="M120:M122">
    <cfRule type="containsText" dxfId="16" priority="11" operator="containsText" text="금액입력">
      <formula>NOT(ISERROR(SEARCH("금액입력",M120)))</formula>
    </cfRule>
  </conditionalFormatting>
  <conditionalFormatting sqref="N120:N122">
    <cfRule type="containsText" dxfId="15" priority="10" operator="containsText" text="금액입력">
      <formula>NOT(ISERROR(SEARCH("금액입력",N120)))</formula>
    </cfRule>
  </conditionalFormatting>
  <conditionalFormatting sqref="M120:M122">
    <cfRule type="containsText" dxfId="14" priority="9" operator="containsText" text="부기명 입력">
      <formula>NOT(ISERROR(SEARCH("부기명 입력",M120)))</formula>
    </cfRule>
  </conditionalFormatting>
  <conditionalFormatting sqref="M120:M122">
    <cfRule type="containsText" dxfId="13" priority="8" operator="containsText" text="금액입력">
      <formula>NOT(ISERROR(SEARCH("금액입력",M120)))</formula>
    </cfRule>
  </conditionalFormatting>
  <conditionalFormatting sqref="N120:N122">
    <cfRule type="containsText" dxfId="12" priority="7" operator="containsText" text="금액입력">
      <formula>NOT(ISERROR(SEARCH("금액입력",N120)))</formula>
    </cfRule>
  </conditionalFormatting>
  <conditionalFormatting sqref="M124:M126">
    <cfRule type="containsText" dxfId="11" priority="6" operator="containsText" text="부기명 입력">
      <formula>NOT(ISERROR(SEARCH("부기명 입력",M124)))</formula>
    </cfRule>
  </conditionalFormatting>
  <conditionalFormatting sqref="M124:M126">
    <cfRule type="containsText" dxfId="10" priority="5" operator="containsText" text="금액입력">
      <formula>NOT(ISERROR(SEARCH("금액입력",M124)))</formula>
    </cfRule>
  </conditionalFormatting>
  <conditionalFormatting sqref="N124:N126">
    <cfRule type="containsText" dxfId="9" priority="4" operator="containsText" text="금액입력">
      <formula>NOT(ISERROR(SEARCH("금액입력",N124)))</formula>
    </cfRule>
  </conditionalFormatting>
  <conditionalFormatting sqref="M124:M126">
    <cfRule type="containsText" dxfId="8" priority="3" operator="containsText" text="부기명 입력">
      <formula>NOT(ISERROR(SEARCH("부기명 입력",M124)))</formula>
    </cfRule>
  </conditionalFormatting>
  <conditionalFormatting sqref="M124:M126">
    <cfRule type="containsText" dxfId="7" priority="2" operator="containsText" text="금액입력">
      <formula>NOT(ISERROR(SEARCH("금액입력",M124)))</formula>
    </cfRule>
  </conditionalFormatting>
  <conditionalFormatting sqref="N124:N126">
    <cfRule type="containsText" dxfId="6" priority="1" operator="containsText" text="금액입력">
      <formula>NOT(ISERROR(SEARCH("금액입력",N124)))</formula>
    </cfRule>
  </conditionalFormatting>
  <dataValidations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 xr:uid="{00000000-0002-0000-0A00-000003000000}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 xr:uid="{00000000-0002-0000-0A00-000006000000}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 xr:uid="{36C7977F-9F60-40EB-A388-B93CDE222A7E}">
      <formula1>"국도비, 도비"</formula1>
    </dataValidation>
    <dataValidation type="list" allowBlank="1" showInputMessage="1" showErrorMessage="1" sqref="E112:E114 E116:E118 E120:E122 E8:E10 E12:E14 E16:E18 E20:E22 E24:E26 E28:E30 E32:E34 E36:E38 E40:E42 E44:E46 E48:E50 E52:E54 E56:E58 E60:E62 E64:E66 E68:E70 E72:E74 E76:E78 E80:E82 E84:E86 E88:E90 E92:E94 E96:E98 E104:E106 E100:E102 E108:E110 E124:E126" xr:uid="{3B28F949-F21E-48A3-8D97-327DD4DC42C7}">
      <formula1>"본예산, 1추, 2추,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3B90-275C-4C20-A920-8B79820005E0}">
  <sheetPr>
    <tabColor rgb="FFFFCCFF"/>
    <pageSetUpPr fitToPage="1"/>
  </sheetPr>
  <dimension ref="A1:W456"/>
  <sheetViews>
    <sheetView showGridLines="0" view="pageBreakPreview" zoomScale="115" zoomScaleNormal="115" zoomScaleSheetLayoutView="115" workbookViewId="0">
      <selection activeCell="A48" sqref="A48"/>
    </sheetView>
  </sheetViews>
  <sheetFormatPr defaultRowHeight="13.5"/>
  <cols>
    <col min="1" max="1" width="22.5" style="575" customWidth="1"/>
    <col min="2" max="2" width="13" style="575" customWidth="1"/>
    <col min="3" max="12" width="9" style="575"/>
    <col min="13" max="13" width="25.25" style="575" customWidth="1"/>
    <col min="14" max="14" width="15.25" style="575" bestFit="1" customWidth="1"/>
    <col min="15" max="16384" width="9" style="575"/>
  </cols>
  <sheetData>
    <row r="1" spans="1:14" ht="27.75" customHeight="1">
      <c r="A1" s="971" t="s">
        <v>2038</v>
      </c>
      <c r="B1" s="971"/>
      <c r="C1" s="971"/>
      <c r="D1" s="971"/>
      <c r="E1" s="971"/>
      <c r="F1" s="971"/>
      <c r="G1" s="971"/>
      <c r="H1" s="971"/>
      <c r="I1" s="971"/>
      <c r="J1" s="971"/>
      <c r="K1" s="971"/>
      <c r="L1" s="971"/>
      <c r="M1" s="971"/>
      <c r="N1" s="841"/>
    </row>
    <row r="2" spans="1:14" ht="17.25" customHeight="1" thickBot="1">
      <c r="M2" s="842" t="s">
        <v>2037</v>
      </c>
      <c r="N2" s="841"/>
    </row>
    <row r="3" spans="1:14" ht="20.100000000000001" customHeight="1">
      <c r="A3" s="972" t="s">
        <v>1664</v>
      </c>
      <c r="B3" s="974" t="s">
        <v>1663</v>
      </c>
      <c r="C3" s="976" t="s">
        <v>1662</v>
      </c>
      <c r="D3" s="968" t="s">
        <v>1661</v>
      </c>
      <c r="E3" s="969"/>
      <c r="F3" s="970"/>
      <c r="G3" s="968" t="s">
        <v>1660</v>
      </c>
      <c r="H3" s="969"/>
      <c r="I3" s="970"/>
      <c r="J3" s="978">
        <v>2026</v>
      </c>
      <c r="K3" s="980">
        <v>2027</v>
      </c>
      <c r="L3" s="982" t="s">
        <v>1659</v>
      </c>
      <c r="M3" s="984" t="s">
        <v>1658</v>
      </c>
    </row>
    <row r="4" spans="1:14" ht="20.100000000000001" customHeight="1">
      <c r="A4" s="973"/>
      <c r="B4" s="975"/>
      <c r="C4" s="977"/>
      <c r="D4" s="839" t="s">
        <v>1657</v>
      </c>
      <c r="E4" s="838" t="s">
        <v>1656</v>
      </c>
      <c r="F4" s="840" t="s">
        <v>1655</v>
      </c>
      <c r="G4" s="839" t="s">
        <v>1657</v>
      </c>
      <c r="H4" s="838" t="s">
        <v>1656</v>
      </c>
      <c r="I4" s="837" t="s">
        <v>1655</v>
      </c>
      <c r="J4" s="979"/>
      <c r="K4" s="981"/>
      <c r="L4" s="983"/>
      <c r="M4" s="985"/>
    </row>
    <row r="5" spans="1:14" s="644" customFormat="1" ht="20.100000000000001" customHeight="1">
      <c r="A5" s="836" t="s">
        <v>2036</v>
      </c>
      <c r="B5" s="835" t="s">
        <v>1653</v>
      </c>
      <c r="C5" s="829">
        <f>SUM(C6:C8)</f>
        <v>33110100</v>
      </c>
      <c r="D5" s="828">
        <f>SUM(D6:D8)</f>
        <v>10581600</v>
      </c>
      <c r="E5" s="827">
        <f>D5-F5</f>
        <v>582537</v>
      </c>
      <c r="F5" s="818">
        <f>SUM(F6:F8)</f>
        <v>9999063</v>
      </c>
      <c r="G5" s="828">
        <f>SUM(G6:G8)</f>
        <v>10000</v>
      </c>
      <c r="H5" s="827">
        <f>SUM(H6:H8)</f>
        <v>0</v>
      </c>
      <c r="I5" s="818">
        <f>G5-H5</f>
        <v>10000</v>
      </c>
      <c r="J5" s="828">
        <f>SUM(J6:J8)</f>
        <v>6099000</v>
      </c>
      <c r="K5" s="827">
        <f>SUM(K6:K8)</f>
        <v>16419500</v>
      </c>
      <c r="L5" s="818">
        <f>C5-D5-G5-J5-K5</f>
        <v>0</v>
      </c>
      <c r="M5" s="834" t="s">
        <v>1713</v>
      </c>
    </row>
    <row r="6" spans="1:14" s="644" customFormat="1" ht="15.75" customHeight="1">
      <c r="A6" s="618" t="s">
        <v>2035</v>
      </c>
      <c r="B6" s="632" t="s">
        <v>1786</v>
      </c>
      <c r="C6" s="578">
        <v>29123100</v>
      </c>
      <c r="D6" s="825">
        <v>9444600</v>
      </c>
      <c r="E6" s="577">
        <v>545348</v>
      </c>
      <c r="F6" s="816">
        <v>8899252</v>
      </c>
      <c r="G6" s="825">
        <v>8000</v>
      </c>
      <c r="H6" s="577">
        <v>0</v>
      </c>
      <c r="I6" s="816">
        <f>G6-H6</f>
        <v>8000</v>
      </c>
      <c r="J6" s="825">
        <v>5222000</v>
      </c>
      <c r="K6" s="577">
        <v>14448500</v>
      </c>
      <c r="L6" s="816">
        <v>0</v>
      </c>
      <c r="M6" s="833" t="s">
        <v>2034</v>
      </c>
      <c r="N6" s="690"/>
    </row>
    <row r="7" spans="1:14" s="644" customFormat="1" ht="15.75" customHeight="1">
      <c r="A7" s="618" t="s">
        <v>2033</v>
      </c>
      <c r="B7" s="617" t="s">
        <v>1784</v>
      </c>
      <c r="C7" s="578">
        <v>3926000</v>
      </c>
      <c r="D7" s="825">
        <v>1116000</v>
      </c>
      <c r="E7" s="577">
        <v>33600</v>
      </c>
      <c r="F7" s="816">
        <v>1082400</v>
      </c>
      <c r="G7" s="825">
        <v>2000</v>
      </c>
      <c r="H7" s="577">
        <v>0</v>
      </c>
      <c r="I7" s="816">
        <f>G7-H7</f>
        <v>2000</v>
      </c>
      <c r="J7" s="825">
        <v>865000</v>
      </c>
      <c r="K7" s="577">
        <v>1943000</v>
      </c>
      <c r="L7" s="816">
        <v>0</v>
      </c>
      <c r="M7" s="606" t="s">
        <v>2032</v>
      </c>
      <c r="N7" s="690"/>
    </row>
    <row r="8" spans="1:14" s="644" customFormat="1" ht="15.75" customHeight="1">
      <c r="A8" s="826" t="s">
        <v>2031</v>
      </c>
      <c r="B8" s="617" t="s">
        <v>1782</v>
      </c>
      <c r="C8" s="832">
        <v>61000</v>
      </c>
      <c r="D8" s="831">
        <v>21000</v>
      </c>
      <c r="E8" s="830">
        <v>3589</v>
      </c>
      <c r="F8" s="815">
        <v>17411</v>
      </c>
      <c r="G8" s="831"/>
      <c r="H8" s="830">
        <v>0</v>
      </c>
      <c r="I8" s="815">
        <f>G8-H8</f>
        <v>0</v>
      </c>
      <c r="J8" s="831">
        <v>12000</v>
      </c>
      <c r="K8" s="830">
        <v>28000</v>
      </c>
      <c r="L8" s="815">
        <v>0</v>
      </c>
      <c r="M8" s="606"/>
    </row>
    <row r="9" spans="1:14" s="644" customFormat="1" ht="20.100000000000001" customHeight="1">
      <c r="A9" s="826" t="s">
        <v>2030</v>
      </c>
      <c r="B9" s="624" t="s">
        <v>1651</v>
      </c>
      <c r="C9" s="829">
        <f>SUM(C10:C12)</f>
        <v>33110100</v>
      </c>
      <c r="D9" s="828">
        <f>SUM(D10:D12)</f>
        <v>10581600</v>
      </c>
      <c r="E9" s="827">
        <f>SUM(E10:E12)</f>
        <v>8523625</v>
      </c>
      <c r="F9" s="818">
        <f>SUM(F10:F12)</f>
        <v>2057975</v>
      </c>
      <c r="G9" s="828">
        <v>10000</v>
      </c>
      <c r="H9" s="827">
        <v>0</v>
      </c>
      <c r="I9" s="818">
        <v>10000</v>
      </c>
      <c r="J9" s="828">
        <f>SUM(J10:J12)</f>
        <v>2447527</v>
      </c>
      <c r="K9" s="827">
        <f>SUM(K10:K12)</f>
        <v>20070973</v>
      </c>
      <c r="L9" s="818">
        <v>0</v>
      </c>
      <c r="M9" s="606"/>
    </row>
    <row r="10" spans="1:14" s="644" customFormat="1" ht="20.100000000000001" customHeight="1">
      <c r="A10" s="826" t="s">
        <v>2029</v>
      </c>
      <c r="B10" s="632" t="s">
        <v>1786</v>
      </c>
      <c r="C10" s="578">
        <f>SUM(D10,G10,J10,K10)</f>
        <v>29123100</v>
      </c>
      <c r="D10" s="825">
        <v>9444600</v>
      </c>
      <c r="E10" s="577">
        <v>7600594</v>
      </c>
      <c r="F10" s="816">
        <f>D10-E10</f>
        <v>1844006</v>
      </c>
      <c r="G10" s="825">
        <v>8000</v>
      </c>
      <c r="H10" s="577">
        <v>0</v>
      </c>
      <c r="I10" s="816">
        <v>8000</v>
      </c>
      <c r="J10" s="825">
        <v>1959333</v>
      </c>
      <c r="K10" s="577">
        <v>17711167</v>
      </c>
      <c r="L10" s="816">
        <v>0</v>
      </c>
      <c r="M10" s="606"/>
      <c r="N10" s="690"/>
    </row>
    <row r="11" spans="1:14" s="644" customFormat="1" ht="20.100000000000001" customHeight="1">
      <c r="A11" s="826" t="s">
        <v>2028</v>
      </c>
      <c r="B11" s="617" t="s">
        <v>1784</v>
      </c>
      <c r="C11" s="578">
        <f>SUM(D11,G11,J11,K11)</f>
        <v>3926000</v>
      </c>
      <c r="D11" s="825">
        <v>1116000</v>
      </c>
      <c r="E11" s="577">
        <v>909325</v>
      </c>
      <c r="F11" s="816">
        <f>D11-E11</f>
        <v>206675</v>
      </c>
      <c r="G11" s="825">
        <v>2000</v>
      </c>
      <c r="H11" s="577">
        <v>0</v>
      </c>
      <c r="I11" s="816">
        <v>2000</v>
      </c>
      <c r="J11" s="825">
        <v>486194</v>
      </c>
      <c r="K11" s="577">
        <v>2321806</v>
      </c>
      <c r="L11" s="816">
        <v>0</v>
      </c>
      <c r="M11" s="606"/>
      <c r="N11" s="690"/>
    </row>
    <row r="12" spans="1:14" s="644" customFormat="1" ht="20.100000000000001" customHeight="1">
      <c r="A12" s="612"/>
      <c r="B12" s="617" t="s">
        <v>1782</v>
      </c>
      <c r="C12" s="578">
        <f>SUM(D12,G12,J12,K12)</f>
        <v>61000</v>
      </c>
      <c r="D12" s="825">
        <v>21000</v>
      </c>
      <c r="E12" s="577">
        <v>13706</v>
      </c>
      <c r="F12" s="816">
        <f>D12-E12</f>
        <v>7294</v>
      </c>
      <c r="G12" s="825">
        <v>0</v>
      </c>
      <c r="H12" s="577">
        <v>0</v>
      </c>
      <c r="I12" s="816">
        <v>0</v>
      </c>
      <c r="J12" s="825">
        <v>2000</v>
      </c>
      <c r="K12" s="577">
        <v>38000</v>
      </c>
      <c r="L12" s="815">
        <v>0</v>
      </c>
      <c r="M12" s="606"/>
      <c r="N12" s="690"/>
    </row>
    <row r="13" spans="1:14" s="644" customFormat="1" ht="20.100000000000001" customHeight="1" thickBot="1">
      <c r="A13" s="824" t="s">
        <v>2027</v>
      </c>
      <c r="B13" s="786" t="s">
        <v>1649</v>
      </c>
      <c r="C13" s="823">
        <v>0</v>
      </c>
      <c r="D13" s="822">
        <f t="shared" ref="D13:K13" si="0">D9-D5</f>
        <v>0</v>
      </c>
      <c r="E13" s="821">
        <f t="shared" si="0"/>
        <v>7941088</v>
      </c>
      <c r="F13" s="820">
        <f t="shared" si="0"/>
        <v>-7941088</v>
      </c>
      <c r="G13" s="822">
        <f t="shared" si="0"/>
        <v>0</v>
      </c>
      <c r="H13" s="821">
        <f t="shared" si="0"/>
        <v>0</v>
      </c>
      <c r="I13" s="820">
        <f t="shared" si="0"/>
        <v>0</v>
      </c>
      <c r="J13" s="822">
        <f t="shared" si="0"/>
        <v>-3651473</v>
      </c>
      <c r="K13" s="821">
        <f t="shared" si="0"/>
        <v>3651473</v>
      </c>
      <c r="L13" s="820">
        <v>0</v>
      </c>
      <c r="M13" s="599" t="s">
        <v>2026</v>
      </c>
    </row>
    <row r="14" spans="1:14" s="644" customFormat="1" ht="20.100000000000001" customHeight="1">
      <c r="A14" s="796" t="s">
        <v>2025</v>
      </c>
      <c r="B14" s="795" t="s">
        <v>1653</v>
      </c>
      <c r="C14" s="743">
        <v>166753112</v>
      </c>
      <c r="D14" s="741">
        <v>145297112</v>
      </c>
      <c r="E14" s="740">
        <v>141275194</v>
      </c>
      <c r="F14" s="819">
        <v>4021918</v>
      </c>
      <c r="G14" s="741">
        <v>6667000</v>
      </c>
      <c r="H14" s="740">
        <v>1049180</v>
      </c>
      <c r="I14" s="739">
        <v>5617820</v>
      </c>
      <c r="J14" s="741">
        <v>14789000</v>
      </c>
      <c r="K14" s="740">
        <v>0</v>
      </c>
      <c r="L14" s="818">
        <f>C14-D14-G14-J14-K14</f>
        <v>0</v>
      </c>
      <c r="M14" s="794" t="s">
        <v>2005</v>
      </c>
    </row>
    <row r="15" spans="1:14" s="644" customFormat="1" ht="20.100000000000001" customHeight="1">
      <c r="A15" s="789" t="s">
        <v>2024</v>
      </c>
      <c r="B15" s="664" t="s">
        <v>430</v>
      </c>
      <c r="C15" s="616">
        <v>163218112</v>
      </c>
      <c r="D15" s="615">
        <v>142443112</v>
      </c>
      <c r="E15" s="614">
        <v>138508756</v>
      </c>
      <c r="F15" s="817">
        <v>3934356</v>
      </c>
      <c r="G15" s="615">
        <v>6546000</v>
      </c>
      <c r="H15" s="614">
        <v>1049180</v>
      </c>
      <c r="I15" s="613">
        <v>889359</v>
      </c>
      <c r="J15" s="615">
        <v>14229000</v>
      </c>
      <c r="K15" s="628">
        <v>0</v>
      </c>
      <c r="L15" s="816">
        <v>0</v>
      </c>
      <c r="M15" s="788" t="s">
        <v>1861</v>
      </c>
    </row>
    <row r="16" spans="1:14" s="644" customFormat="1" ht="20.100000000000001" customHeight="1">
      <c r="A16" s="789" t="s">
        <v>2023</v>
      </c>
      <c r="B16" s="664" t="s">
        <v>432</v>
      </c>
      <c r="C16" s="616">
        <v>3406000</v>
      </c>
      <c r="D16" s="615">
        <v>2734000</v>
      </c>
      <c r="E16" s="614">
        <v>2682266</v>
      </c>
      <c r="F16" s="817">
        <v>51734</v>
      </c>
      <c r="G16" s="615">
        <v>112000</v>
      </c>
      <c r="H16" s="614">
        <v>0</v>
      </c>
      <c r="I16" s="613">
        <v>112000</v>
      </c>
      <c r="J16" s="615">
        <v>560000</v>
      </c>
      <c r="K16" s="614">
        <v>0</v>
      </c>
      <c r="L16" s="816">
        <v>0</v>
      </c>
      <c r="M16" s="606"/>
    </row>
    <row r="17" spans="1:13" s="644" customFormat="1" ht="20.100000000000001" customHeight="1">
      <c r="A17" s="789" t="s">
        <v>2022</v>
      </c>
      <c r="B17" s="793" t="s">
        <v>434</v>
      </c>
      <c r="C17" s="616">
        <v>129000</v>
      </c>
      <c r="D17" s="615">
        <v>120000</v>
      </c>
      <c r="E17" s="792">
        <v>84172</v>
      </c>
      <c r="F17" s="798">
        <v>35828</v>
      </c>
      <c r="G17" s="791">
        <v>9000</v>
      </c>
      <c r="H17" s="614">
        <v>0</v>
      </c>
      <c r="I17" s="613">
        <v>9000</v>
      </c>
      <c r="J17" s="615"/>
      <c r="K17" s="614">
        <v>0</v>
      </c>
      <c r="L17" s="815">
        <v>0</v>
      </c>
      <c r="M17" s="814" t="s">
        <v>1652</v>
      </c>
    </row>
    <row r="18" spans="1:13" s="644" customFormat="1" ht="20.100000000000001" customHeight="1">
      <c r="A18" s="789" t="s">
        <v>2012</v>
      </c>
      <c r="B18" s="624" t="s">
        <v>1651</v>
      </c>
      <c r="C18" s="623">
        <f>D18+G18+J18+K18+L18</f>
        <v>173957112</v>
      </c>
      <c r="D18" s="621">
        <f t="shared" ref="D18:L18" si="1">D19+D20+D21</f>
        <v>145297112</v>
      </c>
      <c r="E18" s="620">
        <f t="shared" si="1"/>
        <v>141275194</v>
      </c>
      <c r="F18" s="619">
        <f t="shared" si="1"/>
        <v>4021918</v>
      </c>
      <c r="G18" s="621">
        <f t="shared" si="1"/>
        <v>6667000</v>
      </c>
      <c r="H18" s="620">
        <f t="shared" si="1"/>
        <v>3168473</v>
      </c>
      <c r="I18" s="619">
        <f t="shared" si="1"/>
        <v>3498527</v>
      </c>
      <c r="J18" s="621">
        <f t="shared" si="1"/>
        <v>12993000</v>
      </c>
      <c r="K18" s="620">
        <f t="shared" si="1"/>
        <v>9000000</v>
      </c>
      <c r="L18" s="619">
        <f t="shared" si="1"/>
        <v>0</v>
      </c>
      <c r="M18" s="788" t="s">
        <v>2021</v>
      </c>
    </row>
    <row r="19" spans="1:13" s="644" customFormat="1" ht="20.100000000000001" customHeight="1">
      <c r="A19" s="789"/>
      <c r="B19" s="664" t="s">
        <v>430</v>
      </c>
      <c r="C19" s="616">
        <f>D19+G19+J19+K19+L19</f>
        <v>170422112</v>
      </c>
      <c r="D19" s="615">
        <v>142443112</v>
      </c>
      <c r="E19" s="614">
        <v>138508756</v>
      </c>
      <c r="F19" s="613">
        <v>3934356</v>
      </c>
      <c r="G19" s="615">
        <v>6546000</v>
      </c>
      <c r="H19" s="614">
        <v>3090420</v>
      </c>
      <c r="I19" s="613">
        <f>G19-H19</f>
        <v>3455580</v>
      </c>
      <c r="J19" s="615">
        <v>12433000</v>
      </c>
      <c r="K19" s="614">
        <v>9000000</v>
      </c>
      <c r="L19" s="613">
        <v>0</v>
      </c>
      <c r="M19" s="606" t="s">
        <v>2020</v>
      </c>
    </row>
    <row r="20" spans="1:13" s="644" customFormat="1" ht="20.100000000000001" customHeight="1">
      <c r="A20" s="790" t="s">
        <v>1650</v>
      </c>
      <c r="B20" s="664" t="s">
        <v>432</v>
      </c>
      <c r="C20" s="616">
        <f>D20+G20+J20+K20+L20</f>
        <v>3406000</v>
      </c>
      <c r="D20" s="615">
        <v>2734000</v>
      </c>
      <c r="E20" s="614">
        <v>2682266</v>
      </c>
      <c r="F20" s="613">
        <v>51734</v>
      </c>
      <c r="G20" s="615">
        <v>112000</v>
      </c>
      <c r="H20" s="614">
        <v>78053</v>
      </c>
      <c r="I20" s="613">
        <f>G20-H20</f>
        <v>33947</v>
      </c>
      <c r="J20" s="615">
        <v>560000</v>
      </c>
      <c r="K20" s="614">
        <v>0</v>
      </c>
      <c r="L20" s="613">
        <v>0</v>
      </c>
      <c r="M20" s="606" t="s">
        <v>2019</v>
      </c>
    </row>
    <row r="21" spans="1:13" s="644" customFormat="1" ht="20.100000000000001" customHeight="1">
      <c r="A21" s="789"/>
      <c r="B21" s="797" t="s">
        <v>434</v>
      </c>
      <c r="C21" s="616">
        <f>D21+G21+J21+K21+L21</f>
        <v>129000</v>
      </c>
      <c r="D21" s="615">
        <v>120000</v>
      </c>
      <c r="E21" s="792">
        <v>84172</v>
      </c>
      <c r="F21" s="613">
        <v>35828</v>
      </c>
      <c r="G21" s="791">
        <v>9000</v>
      </c>
      <c r="H21" s="614">
        <v>0</v>
      </c>
      <c r="I21" s="613">
        <f>G21-H21</f>
        <v>9000</v>
      </c>
      <c r="J21" s="615">
        <v>0</v>
      </c>
      <c r="K21" s="614">
        <v>0</v>
      </c>
      <c r="L21" s="613">
        <v>0</v>
      </c>
      <c r="M21" s="788"/>
    </row>
    <row r="22" spans="1:13" s="644" customFormat="1" ht="20.100000000000001" customHeight="1" thickBot="1">
      <c r="A22" s="787"/>
      <c r="B22" s="786" t="s">
        <v>1649</v>
      </c>
      <c r="C22" s="762">
        <f t="shared" ref="C22:L22" si="2">C18-C14</f>
        <v>7204000</v>
      </c>
      <c r="D22" s="761">
        <f t="shared" si="2"/>
        <v>0</v>
      </c>
      <c r="E22" s="760">
        <f t="shared" si="2"/>
        <v>0</v>
      </c>
      <c r="F22" s="759">
        <f t="shared" si="2"/>
        <v>0</v>
      </c>
      <c r="G22" s="761">
        <f t="shared" si="2"/>
        <v>0</v>
      </c>
      <c r="H22" s="760">
        <f t="shared" si="2"/>
        <v>2119293</v>
      </c>
      <c r="I22" s="759">
        <f t="shared" si="2"/>
        <v>-2119293</v>
      </c>
      <c r="J22" s="761">
        <f t="shared" si="2"/>
        <v>-1796000</v>
      </c>
      <c r="K22" s="760">
        <f t="shared" si="2"/>
        <v>9000000</v>
      </c>
      <c r="L22" s="759">
        <f t="shared" si="2"/>
        <v>0</v>
      </c>
      <c r="M22" s="785" t="s">
        <v>1869</v>
      </c>
    </row>
    <row r="23" spans="1:13" s="644" customFormat="1" ht="20.100000000000001" customHeight="1">
      <c r="A23" s="796" t="s">
        <v>2018</v>
      </c>
      <c r="B23" s="795" t="s">
        <v>1653</v>
      </c>
      <c r="C23" s="743">
        <v>327910000</v>
      </c>
      <c r="D23" s="741">
        <v>245229884</v>
      </c>
      <c r="E23" s="740">
        <v>228505481</v>
      </c>
      <c r="F23" s="739">
        <v>16724403</v>
      </c>
      <c r="G23" s="741">
        <v>29900000</v>
      </c>
      <c r="H23" s="740">
        <v>22006059</v>
      </c>
      <c r="I23" s="739">
        <v>7893941</v>
      </c>
      <c r="J23" s="741">
        <v>7143000</v>
      </c>
      <c r="K23" s="740">
        <v>5200000</v>
      </c>
      <c r="L23" s="739">
        <v>40437116</v>
      </c>
      <c r="M23" s="794" t="s">
        <v>1713</v>
      </c>
    </row>
    <row r="24" spans="1:13" s="644" customFormat="1" ht="20.100000000000001" customHeight="1">
      <c r="A24" s="789" t="s">
        <v>2017</v>
      </c>
      <c r="B24" s="664" t="s">
        <v>430</v>
      </c>
      <c r="C24" s="631">
        <v>323634000</v>
      </c>
      <c r="D24" s="629">
        <v>242726884</v>
      </c>
      <c r="E24" s="614">
        <v>226478346</v>
      </c>
      <c r="F24" s="627">
        <v>16248538</v>
      </c>
      <c r="G24" s="629">
        <v>29900000</v>
      </c>
      <c r="H24" s="628">
        <v>22006059</v>
      </c>
      <c r="I24" s="627">
        <v>7893941</v>
      </c>
      <c r="J24" s="615">
        <v>6713000</v>
      </c>
      <c r="K24" s="614">
        <v>5000000</v>
      </c>
      <c r="L24" s="613">
        <v>39294116</v>
      </c>
      <c r="M24" s="788" t="s">
        <v>1861</v>
      </c>
    </row>
    <row r="25" spans="1:13" s="644" customFormat="1" ht="20.100000000000001" customHeight="1">
      <c r="A25" s="789" t="s">
        <v>2016</v>
      </c>
      <c r="B25" s="664" t="s">
        <v>432</v>
      </c>
      <c r="C25" s="616">
        <v>4110000</v>
      </c>
      <c r="D25" s="615">
        <v>2367000</v>
      </c>
      <c r="E25" s="614">
        <v>1897046</v>
      </c>
      <c r="F25" s="613">
        <v>469954</v>
      </c>
      <c r="G25" s="615">
        <v>0</v>
      </c>
      <c r="H25" s="614">
        <v>0</v>
      </c>
      <c r="I25" s="613">
        <v>0</v>
      </c>
      <c r="J25" s="615">
        <v>400000</v>
      </c>
      <c r="K25" s="614">
        <v>200000</v>
      </c>
      <c r="L25" s="613">
        <v>1143000</v>
      </c>
      <c r="M25" s="606" t="s">
        <v>2015</v>
      </c>
    </row>
    <row r="26" spans="1:13" s="644" customFormat="1" ht="20.100000000000001" customHeight="1">
      <c r="A26" s="789" t="s">
        <v>2014</v>
      </c>
      <c r="B26" s="793" t="s">
        <v>434</v>
      </c>
      <c r="C26" s="799">
        <v>166000</v>
      </c>
      <c r="D26" s="791">
        <v>136000</v>
      </c>
      <c r="E26" s="792">
        <v>130089</v>
      </c>
      <c r="F26" s="798">
        <v>5911</v>
      </c>
      <c r="G26" s="791">
        <v>0</v>
      </c>
      <c r="H26" s="792">
        <v>0</v>
      </c>
      <c r="I26" s="798">
        <v>0</v>
      </c>
      <c r="J26" s="615">
        <v>30000</v>
      </c>
      <c r="K26" s="614">
        <v>0</v>
      </c>
      <c r="L26" s="613">
        <v>0</v>
      </c>
      <c r="M26" s="814" t="s">
        <v>2013</v>
      </c>
    </row>
    <row r="27" spans="1:13" s="644" customFormat="1" ht="20.100000000000001" customHeight="1">
      <c r="A27" s="789" t="s">
        <v>2012</v>
      </c>
      <c r="B27" s="624" t="s">
        <v>1651</v>
      </c>
      <c r="C27" s="623">
        <f>D27+G27+J27+K27+L27</f>
        <v>327910000</v>
      </c>
      <c r="D27" s="621">
        <f t="shared" ref="D27:L27" si="3">D28+D29+D30</f>
        <v>245229884</v>
      </c>
      <c r="E27" s="620">
        <f t="shared" si="3"/>
        <v>228505481</v>
      </c>
      <c r="F27" s="619">
        <f t="shared" si="3"/>
        <v>16724403</v>
      </c>
      <c r="G27" s="621">
        <f t="shared" si="3"/>
        <v>29900000</v>
      </c>
      <c r="H27" s="620">
        <f t="shared" si="3"/>
        <v>25045742</v>
      </c>
      <c r="I27" s="619">
        <f t="shared" si="3"/>
        <v>4854258</v>
      </c>
      <c r="J27" s="621">
        <f t="shared" si="3"/>
        <v>18715000</v>
      </c>
      <c r="K27" s="620">
        <f t="shared" si="3"/>
        <v>5200000</v>
      </c>
      <c r="L27" s="619">
        <f t="shared" si="3"/>
        <v>28865116</v>
      </c>
      <c r="M27" s="788"/>
    </row>
    <row r="28" spans="1:13" s="644" customFormat="1" ht="20.100000000000001" customHeight="1">
      <c r="A28" s="789"/>
      <c r="B28" s="664" t="s">
        <v>430</v>
      </c>
      <c r="C28" s="616">
        <f>D28+G28+J28+K28+L28</f>
        <v>323634000</v>
      </c>
      <c r="D28" s="615">
        <v>242726884</v>
      </c>
      <c r="E28" s="614">
        <v>226478346</v>
      </c>
      <c r="F28" s="613">
        <v>16248538</v>
      </c>
      <c r="G28" s="615">
        <v>29900000</v>
      </c>
      <c r="H28" s="614">
        <v>25045742</v>
      </c>
      <c r="I28" s="613">
        <f>G28-H28</f>
        <v>4854258</v>
      </c>
      <c r="J28" s="615">
        <f>6713000+11572000</f>
        <v>18285000</v>
      </c>
      <c r="K28" s="614">
        <v>5000000</v>
      </c>
      <c r="L28" s="613">
        <f>39294116-11572000</f>
        <v>27722116</v>
      </c>
      <c r="M28" s="606"/>
    </row>
    <row r="29" spans="1:13" s="644" customFormat="1" ht="20.100000000000001" customHeight="1">
      <c r="A29" s="790" t="s">
        <v>1650</v>
      </c>
      <c r="B29" s="664" t="s">
        <v>432</v>
      </c>
      <c r="C29" s="616">
        <f>D29+G29+J29+K29+L29</f>
        <v>4110000</v>
      </c>
      <c r="D29" s="615">
        <v>2367000</v>
      </c>
      <c r="E29" s="614">
        <v>1897046</v>
      </c>
      <c r="F29" s="613">
        <v>469954</v>
      </c>
      <c r="G29" s="615">
        <v>0</v>
      </c>
      <c r="H29" s="614">
        <v>0</v>
      </c>
      <c r="I29" s="613">
        <f>G29-H29</f>
        <v>0</v>
      </c>
      <c r="J29" s="615">
        <v>400000</v>
      </c>
      <c r="K29" s="614">
        <v>200000</v>
      </c>
      <c r="L29" s="613">
        <v>1143000</v>
      </c>
      <c r="M29" s="606"/>
    </row>
    <row r="30" spans="1:13" s="644" customFormat="1" ht="20.100000000000001" customHeight="1">
      <c r="A30" s="789"/>
      <c r="B30" s="797" t="s">
        <v>434</v>
      </c>
      <c r="C30" s="616">
        <f>D30+G30+J30+K30+L30</f>
        <v>166000</v>
      </c>
      <c r="D30" s="615">
        <v>136000</v>
      </c>
      <c r="E30" s="792">
        <v>130089</v>
      </c>
      <c r="F30" s="613">
        <v>5911</v>
      </c>
      <c r="G30" s="791">
        <v>0</v>
      </c>
      <c r="H30" s="614">
        <v>0</v>
      </c>
      <c r="I30" s="613">
        <f>G30-H30</f>
        <v>0</v>
      </c>
      <c r="J30" s="615">
        <v>30000</v>
      </c>
      <c r="K30" s="614">
        <v>0</v>
      </c>
      <c r="L30" s="613">
        <v>0</v>
      </c>
      <c r="M30" s="788"/>
    </row>
    <row r="31" spans="1:13" s="644" customFormat="1" ht="20.100000000000001" customHeight="1" thickBot="1">
      <c r="A31" s="787"/>
      <c r="B31" s="786" t="s">
        <v>1649</v>
      </c>
      <c r="C31" s="762">
        <f t="shared" ref="C31:L31" si="4">C27-C23</f>
        <v>0</v>
      </c>
      <c r="D31" s="761">
        <f t="shared" si="4"/>
        <v>0</v>
      </c>
      <c r="E31" s="760">
        <f t="shared" si="4"/>
        <v>0</v>
      </c>
      <c r="F31" s="759">
        <f t="shared" si="4"/>
        <v>0</v>
      </c>
      <c r="G31" s="761">
        <f t="shared" si="4"/>
        <v>0</v>
      </c>
      <c r="H31" s="760">
        <f t="shared" si="4"/>
        <v>3039683</v>
      </c>
      <c r="I31" s="759">
        <f t="shared" si="4"/>
        <v>-3039683</v>
      </c>
      <c r="J31" s="761">
        <f t="shared" si="4"/>
        <v>11572000</v>
      </c>
      <c r="K31" s="760">
        <f t="shared" si="4"/>
        <v>0</v>
      </c>
      <c r="L31" s="759">
        <f t="shared" si="4"/>
        <v>-11572000</v>
      </c>
      <c r="M31" s="785" t="s">
        <v>1869</v>
      </c>
    </row>
    <row r="32" spans="1:13" s="644" customFormat="1" ht="21" customHeight="1">
      <c r="A32" s="796" t="s">
        <v>2011</v>
      </c>
      <c r="B32" s="795" t="s">
        <v>1653</v>
      </c>
      <c r="C32" s="743">
        <v>92702000</v>
      </c>
      <c r="D32" s="741">
        <v>82569000</v>
      </c>
      <c r="E32" s="740">
        <v>81676694</v>
      </c>
      <c r="F32" s="739">
        <v>892306</v>
      </c>
      <c r="G32" s="741">
        <v>4833000</v>
      </c>
      <c r="H32" s="740">
        <v>1440258</v>
      </c>
      <c r="I32" s="739">
        <v>3392742</v>
      </c>
      <c r="J32" s="741">
        <v>5300000</v>
      </c>
      <c r="K32" s="740">
        <v>0</v>
      </c>
      <c r="L32" s="739">
        <v>0</v>
      </c>
      <c r="M32" s="794" t="s">
        <v>1713</v>
      </c>
    </row>
    <row r="33" spans="1:23" s="644" customFormat="1" ht="21" customHeight="1">
      <c r="A33" s="789" t="s">
        <v>2010</v>
      </c>
      <c r="B33" s="664" t="s">
        <v>430</v>
      </c>
      <c r="C33" s="631">
        <v>89975000</v>
      </c>
      <c r="D33" s="629">
        <v>80752000</v>
      </c>
      <c r="E33" s="614">
        <v>79859728</v>
      </c>
      <c r="F33" s="627">
        <v>892272</v>
      </c>
      <c r="G33" s="629">
        <v>3923000</v>
      </c>
      <c r="H33" s="628">
        <v>1169608</v>
      </c>
      <c r="I33" s="627">
        <v>2753392</v>
      </c>
      <c r="J33" s="615">
        <v>5300000</v>
      </c>
      <c r="K33" s="614">
        <v>0</v>
      </c>
      <c r="L33" s="613">
        <v>0</v>
      </c>
      <c r="M33" s="788" t="s">
        <v>1861</v>
      </c>
      <c r="W33" s="644" t="s">
        <v>2039</v>
      </c>
    </row>
    <row r="34" spans="1:23" s="644" customFormat="1" ht="21" customHeight="1">
      <c r="A34" s="789" t="s">
        <v>2009</v>
      </c>
      <c r="B34" s="664" t="s">
        <v>432</v>
      </c>
      <c r="C34" s="616">
        <v>2642000</v>
      </c>
      <c r="D34" s="615">
        <v>1762000</v>
      </c>
      <c r="E34" s="614">
        <v>1762000</v>
      </c>
      <c r="F34" s="613">
        <v>0</v>
      </c>
      <c r="G34" s="615">
        <v>880000</v>
      </c>
      <c r="H34" s="614">
        <v>269800</v>
      </c>
      <c r="I34" s="613">
        <v>610200</v>
      </c>
      <c r="J34" s="615">
        <v>0</v>
      </c>
      <c r="K34" s="614">
        <v>0</v>
      </c>
      <c r="L34" s="613">
        <v>0</v>
      </c>
      <c r="M34" s="606"/>
    </row>
    <row r="35" spans="1:23" s="644" customFormat="1" ht="21" customHeight="1">
      <c r="A35" s="789" t="s">
        <v>2008</v>
      </c>
      <c r="B35" s="793" t="s">
        <v>434</v>
      </c>
      <c r="C35" s="799">
        <v>85000</v>
      </c>
      <c r="D35" s="791">
        <v>55000</v>
      </c>
      <c r="E35" s="792">
        <v>54966</v>
      </c>
      <c r="F35" s="798">
        <v>34</v>
      </c>
      <c r="G35" s="791">
        <v>30000</v>
      </c>
      <c r="H35" s="792">
        <v>850</v>
      </c>
      <c r="I35" s="798">
        <v>29150</v>
      </c>
      <c r="J35" s="615">
        <v>0</v>
      </c>
      <c r="K35" s="614">
        <v>0</v>
      </c>
      <c r="L35" s="613">
        <v>0</v>
      </c>
      <c r="M35" s="814"/>
    </row>
    <row r="36" spans="1:23" s="644" customFormat="1" ht="21" customHeight="1">
      <c r="A36" s="789" t="s">
        <v>2007</v>
      </c>
      <c r="B36" s="624" t="s">
        <v>1651</v>
      </c>
      <c r="C36" s="623">
        <f>D36+G36+J36+K36+L36</f>
        <v>91780000</v>
      </c>
      <c r="D36" s="621">
        <f t="shared" ref="D36:L36" si="5">D37+D38+D39</f>
        <v>82569000</v>
      </c>
      <c r="E36" s="620">
        <f t="shared" si="5"/>
        <v>81676694</v>
      </c>
      <c r="F36" s="619">
        <f t="shared" si="5"/>
        <v>892306</v>
      </c>
      <c r="G36" s="621">
        <f t="shared" si="5"/>
        <v>4833000</v>
      </c>
      <c r="H36" s="620">
        <f t="shared" si="5"/>
        <v>3920578</v>
      </c>
      <c r="I36" s="619">
        <f t="shared" si="5"/>
        <v>912422</v>
      </c>
      <c r="J36" s="621">
        <f t="shared" si="5"/>
        <v>4378000</v>
      </c>
      <c r="K36" s="620">
        <f t="shared" si="5"/>
        <v>0</v>
      </c>
      <c r="L36" s="619">
        <f t="shared" si="5"/>
        <v>0</v>
      </c>
      <c r="M36" s="788"/>
    </row>
    <row r="37" spans="1:23" s="644" customFormat="1" ht="21" customHeight="1">
      <c r="A37" s="789"/>
      <c r="B37" s="664" t="s">
        <v>430</v>
      </c>
      <c r="C37" s="616">
        <f>D37+G37+J37+K37+L37</f>
        <v>89053000</v>
      </c>
      <c r="D37" s="615">
        <v>80752000</v>
      </c>
      <c r="E37" s="614">
        <v>79859728</v>
      </c>
      <c r="F37" s="613">
        <v>892272</v>
      </c>
      <c r="G37" s="615">
        <v>3923000</v>
      </c>
      <c r="H37" s="614">
        <v>3378390</v>
      </c>
      <c r="I37" s="613">
        <f>G37-H37</f>
        <v>544610</v>
      </c>
      <c r="J37" s="615">
        <v>4378000</v>
      </c>
      <c r="K37" s="614">
        <v>0</v>
      </c>
      <c r="L37" s="613">
        <v>0</v>
      </c>
      <c r="M37" s="606"/>
    </row>
    <row r="38" spans="1:23" s="644" customFormat="1" ht="21" customHeight="1">
      <c r="A38" s="790" t="s">
        <v>1650</v>
      </c>
      <c r="B38" s="664" t="s">
        <v>432</v>
      </c>
      <c r="C38" s="616">
        <f>D38+G38+J38+K38+L38</f>
        <v>2642000</v>
      </c>
      <c r="D38" s="615">
        <v>1762000</v>
      </c>
      <c r="E38" s="614">
        <v>1762000</v>
      </c>
      <c r="F38" s="613">
        <v>0</v>
      </c>
      <c r="G38" s="615">
        <v>880000</v>
      </c>
      <c r="H38" s="614">
        <v>539170</v>
      </c>
      <c r="I38" s="613">
        <f>G38-H38</f>
        <v>340830</v>
      </c>
      <c r="J38" s="615">
        <v>0</v>
      </c>
      <c r="K38" s="614">
        <v>0</v>
      </c>
      <c r="L38" s="613">
        <v>0</v>
      </c>
      <c r="M38" s="606"/>
    </row>
    <row r="39" spans="1:23" s="644" customFormat="1" ht="21" customHeight="1">
      <c r="A39" s="789"/>
      <c r="B39" s="797" t="s">
        <v>434</v>
      </c>
      <c r="C39" s="616">
        <f>D39+G39+J39+K39+L39</f>
        <v>85000</v>
      </c>
      <c r="D39" s="615">
        <v>55000</v>
      </c>
      <c r="E39" s="792">
        <v>54966</v>
      </c>
      <c r="F39" s="613">
        <v>34</v>
      </c>
      <c r="G39" s="791">
        <v>30000</v>
      </c>
      <c r="H39" s="614">
        <v>3018</v>
      </c>
      <c r="I39" s="613">
        <f>G39-H39</f>
        <v>26982</v>
      </c>
      <c r="J39" s="615">
        <v>0</v>
      </c>
      <c r="K39" s="614">
        <v>0</v>
      </c>
      <c r="L39" s="613">
        <v>0</v>
      </c>
      <c r="M39" s="788"/>
    </row>
    <row r="40" spans="1:23" s="644" customFormat="1" ht="21" customHeight="1" thickBot="1">
      <c r="A40" s="787"/>
      <c r="B40" s="786" t="s">
        <v>1649</v>
      </c>
      <c r="C40" s="762">
        <f t="shared" ref="C40:L40" si="6">C36-C32</f>
        <v>-922000</v>
      </c>
      <c r="D40" s="761">
        <f t="shared" si="6"/>
        <v>0</v>
      </c>
      <c r="E40" s="760">
        <f t="shared" si="6"/>
        <v>0</v>
      </c>
      <c r="F40" s="759">
        <f t="shared" si="6"/>
        <v>0</v>
      </c>
      <c r="G40" s="761">
        <f t="shared" si="6"/>
        <v>0</v>
      </c>
      <c r="H40" s="760">
        <f t="shared" si="6"/>
        <v>2480320</v>
      </c>
      <c r="I40" s="759">
        <f t="shared" si="6"/>
        <v>-2480320</v>
      </c>
      <c r="J40" s="761">
        <f t="shared" si="6"/>
        <v>-922000</v>
      </c>
      <c r="K40" s="760">
        <f t="shared" si="6"/>
        <v>0</v>
      </c>
      <c r="L40" s="759">
        <f t="shared" si="6"/>
        <v>0</v>
      </c>
      <c r="M40" s="785" t="s">
        <v>1869</v>
      </c>
    </row>
    <row r="41" spans="1:23" s="644" customFormat="1" ht="21" customHeight="1">
      <c r="A41" s="796" t="s">
        <v>2006</v>
      </c>
      <c r="B41" s="795" t="s">
        <v>1653</v>
      </c>
      <c r="C41" s="743">
        <v>260335000</v>
      </c>
      <c r="D41" s="741">
        <v>243993429</v>
      </c>
      <c r="E41" s="740">
        <v>236942767</v>
      </c>
      <c r="F41" s="739">
        <v>7050662</v>
      </c>
      <c r="G41" s="741">
        <v>9400000</v>
      </c>
      <c r="H41" s="740">
        <v>1213467</v>
      </c>
      <c r="I41" s="739">
        <v>8186533</v>
      </c>
      <c r="J41" s="741">
        <v>1500000</v>
      </c>
      <c r="K41" s="740">
        <v>3014000</v>
      </c>
      <c r="L41" s="739">
        <v>1493571</v>
      </c>
      <c r="M41" s="794" t="s">
        <v>2005</v>
      </c>
    </row>
    <row r="42" spans="1:23" s="644" customFormat="1" ht="21" customHeight="1">
      <c r="A42" s="789" t="s">
        <v>2004</v>
      </c>
      <c r="B42" s="664" t="s">
        <v>430</v>
      </c>
      <c r="C42" s="631">
        <v>251786000</v>
      </c>
      <c r="D42" s="629">
        <v>237372429</v>
      </c>
      <c r="E42" s="614">
        <v>230424847</v>
      </c>
      <c r="F42" s="627">
        <v>6947582</v>
      </c>
      <c r="G42" s="629">
        <v>8000000</v>
      </c>
      <c r="H42" s="628">
        <v>1213467</v>
      </c>
      <c r="I42" s="627">
        <v>6786533</v>
      </c>
      <c r="J42" s="615">
        <v>1000000</v>
      </c>
      <c r="K42" s="614">
        <v>3000000</v>
      </c>
      <c r="L42" s="613">
        <v>1479571</v>
      </c>
      <c r="M42" s="788" t="s">
        <v>1861</v>
      </c>
    </row>
    <row r="43" spans="1:23" s="644" customFormat="1" ht="21" customHeight="1">
      <c r="A43" s="789" t="s">
        <v>2003</v>
      </c>
      <c r="B43" s="664" t="s">
        <v>432</v>
      </c>
      <c r="C43" s="616">
        <v>8178000</v>
      </c>
      <c r="D43" s="615">
        <v>6278000</v>
      </c>
      <c r="E43" s="614">
        <v>6188000</v>
      </c>
      <c r="F43" s="613">
        <v>90000</v>
      </c>
      <c r="G43" s="615">
        <v>1400000</v>
      </c>
      <c r="H43" s="614">
        <v>0</v>
      </c>
      <c r="I43" s="613">
        <v>1400000</v>
      </c>
      <c r="J43" s="615">
        <v>500000</v>
      </c>
      <c r="K43" s="614">
        <v>0</v>
      </c>
      <c r="L43" s="613">
        <v>0</v>
      </c>
      <c r="M43" s="606"/>
    </row>
    <row r="44" spans="1:23" s="644" customFormat="1" ht="21" customHeight="1">
      <c r="A44" s="789" t="s">
        <v>2002</v>
      </c>
      <c r="B44" s="793" t="s">
        <v>434</v>
      </c>
      <c r="C44" s="799">
        <v>371000</v>
      </c>
      <c r="D44" s="791">
        <v>343000</v>
      </c>
      <c r="E44" s="792">
        <v>329920</v>
      </c>
      <c r="F44" s="798">
        <v>13080</v>
      </c>
      <c r="G44" s="791">
        <v>0</v>
      </c>
      <c r="H44" s="792">
        <v>0</v>
      </c>
      <c r="I44" s="798">
        <v>0</v>
      </c>
      <c r="J44" s="615">
        <v>0</v>
      </c>
      <c r="K44" s="614">
        <v>14000</v>
      </c>
      <c r="L44" s="613">
        <v>14000</v>
      </c>
      <c r="M44" s="814"/>
    </row>
    <row r="45" spans="1:23" s="644" customFormat="1" ht="21" customHeight="1">
      <c r="A45" s="789" t="s">
        <v>2001</v>
      </c>
      <c r="B45" s="624" t="s">
        <v>1651</v>
      </c>
      <c r="C45" s="623">
        <f>D45+G45+J45+K45+L45</f>
        <v>258901000</v>
      </c>
      <c r="D45" s="621">
        <f t="shared" ref="D45:L45" si="7">D46+D47+D48</f>
        <v>243993429</v>
      </c>
      <c r="E45" s="620">
        <f t="shared" si="7"/>
        <v>236942767</v>
      </c>
      <c r="F45" s="619">
        <f t="shared" si="7"/>
        <v>7050662</v>
      </c>
      <c r="G45" s="621">
        <f t="shared" si="7"/>
        <v>9400000</v>
      </c>
      <c r="H45" s="620">
        <f t="shared" si="7"/>
        <v>1413467</v>
      </c>
      <c r="I45" s="619">
        <f t="shared" si="7"/>
        <v>7986533</v>
      </c>
      <c r="J45" s="621">
        <f t="shared" si="7"/>
        <v>1000000</v>
      </c>
      <c r="K45" s="620">
        <f t="shared" si="7"/>
        <v>3014000</v>
      </c>
      <c r="L45" s="619">
        <f t="shared" si="7"/>
        <v>1493571</v>
      </c>
      <c r="M45" s="788"/>
    </row>
    <row r="46" spans="1:23" s="644" customFormat="1" ht="21" customHeight="1">
      <c r="A46" s="789"/>
      <c r="B46" s="664" t="s">
        <v>430</v>
      </c>
      <c r="C46" s="616">
        <f>D46+G46+J46+K46+L46</f>
        <v>250852000</v>
      </c>
      <c r="D46" s="615">
        <v>237372429</v>
      </c>
      <c r="E46" s="614">
        <v>230424847</v>
      </c>
      <c r="F46" s="613">
        <v>6947582</v>
      </c>
      <c r="G46" s="615">
        <v>8000000</v>
      </c>
      <c r="H46" s="614">
        <v>1213467</v>
      </c>
      <c r="I46" s="613">
        <f>G46-H46</f>
        <v>6786533</v>
      </c>
      <c r="J46" s="615">
        <v>1000000</v>
      </c>
      <c r="K46" s="614">
        <v>3000000</v>
      </c>
      <c r="L46" s="613">
        <v>1479571</v>
      </c>
      <c r="M46" s="606"/>
    </row>
    <row r="47" spans="1:23" s="644" customFormat="1" ht="21" customHeight="1">
      <c r="A47" s="790" t="s">
        <v>1650</v>
      </c>
      <c r="B47" s="664" t="s">
        <v>432</v>
      </c>
      <c r="C47" s="616">
        <f>D47+G47+J47+K47+L47</f>
        <v>7678000</v>
      </c>
      <c r="D47" s="615">
        <v>6278000</v>
      </c>
      <c r="E47" s="614">
        <v>6188000</v>
      </c>
      <c r="F47" s="613">
        <v>90000</v>
      </c>
      <c r="G47" s="615">
        <v>1400000</v>
      </c>
      <c r="H47" s="614">
        <v>200000</v>
      </c>
      <c r="I47" s="613">
        <f>G47-H47</f>
        <v>1200000</v>
      </c>
      <c r="J47" s="615">
        <v>0</v>
      </c>
      <c r="K47" s="614">
        <v>0</v>
      </c>
      <c r="L47" s="613">
        <v>0</v>
      </c>
      <c r="M47" s="606"/>
    </row>
    <row r="48" spans="1:23" s="644" customFormat="1" ht="21" customHeight="1">
      <c r="A48" s="789"/>
      <c r="B48" s="797" t="s">
        <v>434</v>
      </c>
      <c r="C48" s="616">
        <f>D48+G48+J48+K48+L48</f>
        <v>371000</v>
      </c>
      <c r="D48" s="615">
        <v>343000</v>
      </c>
      <c r="E48" s="792">
        <v>329920</v>
      </c>
      <c r="F48" s="613">
        <v>13080</v>
      </c>
      <c r="G48" s="791">
        <v>0</v>
      </c>
      <c r="H48" s="614">
        <v>0</v>
      </c>
      <c r="I48" s="613">
        <v>0</v>
      </c>
      <c r="J48" s="615">
        <v>0</v>
      </c>
      <c r="K48" s="614">
        <v>14000</v>
      </c>
      <c r="L48" s="613">
        <v>14000</v>
      </c>
      <c r="M48" s="788"/>
    </row>
    <row r="49" spans="1:13" s="644" customFormat="1" ht="21" customHeight="1" thickBot="1">
      <c r="A49" s="787"/>
      <c r="B49" s="786" t="s">
        <v>1649</v>
      </c>
      <c r="C49" s="762">
        <f t="shared" ref="C49:L49" si="8">C45-C41</f>
        <v>-1434000</v>
      </c>
      <c r="D49" s="761">
        <f t="shared" si="8"/>
        <v>0</v>
      </c>
      <c r="E49" s="760">
        <f t="shared" si="8"/>
        <v>0</v>
      </c>
      <c r="F49" s="759">
        <f t="shared" si="8"/>
        <v>0</v>
      </c>
      <c r="G49" s="761">
        <f t="shared" si="8"/>
        <v>0</v>
      </c>
      <c r="H49" s="760">
        <f t="shared" si="8"/>
        <v>200000</v>
      </c>
      <c r="I49" s="759">
        <f t="shared" si="8"/>
        <v>-200000</v>
      </c>
      <c r="J49" s="761">
        <f t="shared" si="8"/>
        <v>-500000</v>
      </c>
      <c r="K49" s="760">
        <f t="shared" si="8"/>
        <v>0</v>
      </c>
      <c r="L49" s="759">
        <f t="shared" si="8"/>
        <v>0</v>
      </c>
      <c r="M49" s="785" t="s">
        <v>1869</v>
      </c>
    </row>
    <row r="50" spans="1:13" s="644" customFormat="1" ht="21" customHeight="1">
      <c r="A50" s="796" t="s">
        <v>2000</v>
      </c>
      <c r="B50" s="795" t="s">
        <v>1653</v>
      </c>
      <c r="C50" s="743">
        <v>99235000</v>
      </c>
      <c r="D50" s="741">
        <v>66732572</v>
      </c>
      <c r="E50" s="740">
        <v>54336967</v>
      </c>
      <c r="F50" s="739">
        <v>12395605</v>
      </c>
      <c r="G50" s="741">
        <v>1031000</v>
      </c>
      <c r="H50" s="740">
        <v>739045</v>
      </c>
      <c r="I50" s="739">
        <v>291955</v>
      </c>
      <c r="J50" s="741">
        <v>21914000</v>
      </c>
      <c r="K50" s="740">
        <v>0</v>
      </c>
      <c r="L50" s="739">
        <v>9557428</v>
      </c>
      <c r="M50" s="794" t="s">
        <v>1713</v>
      </c>
    </row>
    <row r="51" spans="1:13" s="644" customFormat="1" ht="21" customHeight="1">
      <c r="A51" s="789" t="s">
        <v>1999</v>
      </c>
      <c r="B51" s="664" t="s">
        <v>430</v>
      </c>
      <c r="C51" s="616">
        <v>95865000</v>
      </c>
      <c r="D51" s="629">
        <v>64837572</v>
      </c>
      <c r="E51" s="614">
        <v>53250972</v>
      </c>
      <c r="F51" s="627">
        <v>11586600</v>
      </c>
      <c r="G51" s="615">
        <v>326000</v>
      </c>
      <c r="H51" s="628">
        <v>284519</v>
      </c>
      <c r="I51" s="627">
        <v>41481</v>
      </c>
      <c r="J51" s="615">
        <v>21144000</v>
      </c>
      <c r="K51" s="614">
        <v>0</v>
      </c>
      <c r="L51" s="613">
        <v>9557428</v>
      </c>
      <c r="M51" s="788" t="s">
        <v>1861</v>
      </c>
    </row>
    <row r="52" spans="1:13" s="644" customFormat="1" ht="21" customHeight="1">
      <c r="A52" s="789" t="s">
        <v>1998</v>
      </c>
      <c r="B52" s="664" t="s">
        <v>432</v>
      </c>
      <c r="C52" s="616">
        <v>3210000</v>
      </c>
      <c r="D52" s="615">
        <v>1760000</v>
      </c>
      <c r="E52" s="614">
        <v>950995</v>
      </c>
      <c r="F52" s="613">
        <v>809005</v>
      </c>
      <c r="G52" s="615">
        <v>700000</v>
      </c>
      <c r="H52" s="614">
        <v>453000</v>
      </c>
      <c r="I52" s="613">
        <v>247000</v>
      </c>
      <c r="J52" s="615">
        <v>750000</v>
      </c>
      <c r="K52" s="614">
        <v>0</v>
      </c>
      <c r="L52" s="613">
        <v>0</v>
      </c>
      <c r="M52" s="606"/>
    </row>
    <row r="53" spans="1:13" s="644" customFormat="1" ht="21" customHeight="1">
      <c r="A53" s="789" t="s">
        <v>1997</v>
      </c>
      <c r="B53" s="793" t="s">
        <v>434</v>
      </c>
      <c r="C53" s="799">
        <v>160000</v>
      </c>
      <c r="D53" s="791">
        <v>135000</v>
      </c>
      <c r="E53" s="614">
        <v>135000</v>
      </c>
      <c r="F53" s="798">
        <v>0</v>
      </c>
      <c r="G53" s="615">
        <v>5000</v>
      </c>
      <c r="H53" s="792">
        <v>1526</v>
      </c>
      <c r="I53" s="798">
        <v>3474</v>
      </c>
      <c r="J53" s="615">
        <v>20000</v>
      </c>
      <c r="K53" s="614">
        <v>0</v>
      </c>
      <c r="L53" s="613">
        <v>0</v>
      </c>
      <c r="M53" s="814"/>
    </row>
    <row r="54" spans="1:13" s="644" customFormat="1" ht="21" customHeight="1">
      <c r="A54" s="789" t="s">
        <v>1996</v>
      </c>
      <c r="B54" s="624" t="s">
        <v>1651</v>
      </c>
      <c r="C54" s="623">
        <f>D54+G54+J54+K54+L54</f>
        <v>99235000</v>
      </c>
      <c r="D54" s="621">
        <f t="shared" ref="D54:L54" si="9">D55+D56+D57</f>
        <v>66732572</v>
      </c>
      <c r="E54" s="620">
        <f t="shared" si="9"/>
        <v>54336967</v>
      </c>
      <c r="F54" s="619">
        <f t="shared" si="9"/>
        <v>12395605</v>
      </c>
      <c r="G54" s="621">
        <f t="shared" si="9"/>
        <v>1031000</v>
      </c>
      <c r="H54" s="620">
        <f t="shared" si="9"/>
        <v>1006926</v>
      </c>
      <c r="I54" s="619">
        <f t="shared" si="9"/>
        <v>24074</v>
      </c>
      <c r="J54" s="621">
        <f t="shared" si="9"/>
        <v>23343000</v>
      </c>
      <c r="K54" s="620">
        <f t="shared" si="9"/>
        <v>0</v>
      </c>
      <c r="L54" s="619">
        <f t="shared" si="9"/>
        <v>8128428</v>
      </c>
      <c r="M54" s="788"/>
    </row>
    <row r="55" spans="1:13" s="644" customFormat="1" ht="21" customHeight="1">
      <c r="A55" s="789"/>
      <c r="B55" s="664" t="s">
        <v>430</v>
      </c>
      <c r="C55" s="616">
        <f>D55+G55+J55+K55+L55</f>
        <v>95865000</v>
      </c>
      <c r="D55" s="615">
        <v>64837572</v>
      </c>
      <c r="E55" s="614">
        <v>53250972</v>
      </c>
      <c r="F55" s="613">
        <v>11586600</v>
      </c>
      <c r="G55" s="615">
        <v>326000</v>
      </c>
      <c r="H55" s="614">
        <v>326000</v>
      </c>
      <c r="I55" s="613">
        <f>G55-H55</f>
        <v>0</v>
      </c>
      <c r="J55" s="615">
        <f>21144000+1429000</f>
        <v>22573000</v>
      </c>
      <c r="K55" s="614">
        <v>0</v>
      </c>
      <c r="L55" s="613">
        <f>9557428-1429000</f>
        <v>8128428</v>
      </c>
      <c r="M55" s="606"/>
    </row>
    <row r="56" spans="1:13" s="644" customFormat="1" ht="21" customHeight="1">
      <c r="A56" s="790" t="s">
        <v>1650</v>
      </c>
      <c r="B56" s="664" t="s">
        <v>432</v>
      </c>
      <c r="C56" s="616">
        <f>D56+G56+J56+K56+L56</f>
        <v>3210000</v>
      </c>
      <c r="D56" s="615">
        <v>1760000</v>
      </c>
      <c r="E56" s="614">
        <v>950995</v>
      </c>
      <c r="F56" s="613">
        <v>809005</v>
      </c>
      <c r="G56" s="615">
        <v>700000</v>
      </c>
      <c r="H56" s="614">
        <v>676191</v>
      </c>
      <c r="I56" s="613">
        <f>G56-H56</f>
        <v>23809</v>
      </c>
      <c r="J56" s="615">
        <v>750000</v>
      </c>
      <c r="K56" s="614">
        <v>0</v>
      </c>
      <c r="L56" s="613">
        <v>0</v>
      </c>
      <c r="M56" s="606"/>
    </row>
    <row r="57" spans="1:13" s="644" customFormat="1" ht="21" customHeight="1">
      <c r="A57" s="789"/>
      <c r="B57" s="797" t="s">
        <v>434</v>
      </c>
      <c r="C57" s="616">
        <f>D57+G57+J57+K57+L57</f>
        <v>160000</v>
      </c>
      <c r="D57" s="615">
        <v>135000</v>
      </c>
      <c r="E57" s="792">
        <v>135000</v>
      </c>
      <c r="F57" s="613">
        <v>0</v>
      </c>
      <c r="G57" s="791">
        <v>5000</v>
      </c>
      <c r="H57" s="614">
        <v>4735</v>
      </c>
      <c r="I57" s="613">
        <f>G57-H57</f>
        <v>265</v>
      </c>
      <c r="J57" s="615">
        <v>20000</v>
      </c>
      <c r="K57" s="614">
        <v>0</v>
      </c>
      <c r="L57" s="613"/>
      <c r="M57" s="788"/>
    </row>
    <row r="58" spans="1:13" s="644" customFormat="1" ht="21" customHeight="1" thickBot="1">
      <c r="A58" s="787"/>
      <c r="B58" s="786" t="s">
        <v>1649</v>
      </c>
      <c r="C58" s="762">
        <f t="shared" ref="C58:L58" si="10">C54-C50</f>
        <v>0</v>
      </c>
      <c r="D58" s="761">
        <f t="shared" si="10"/>
        <v>0</v>
      </c>
      <c r="E58" s="760">
        <f t="shared" si="10"/>
        <v>0</v>
      </c>
      <c r="F58" s="759">
        <f t="shared" si="10"/>
        <v>0</v>
      </c>
      <c r="G58" s="761">
        <f t="shared" si="10"/>
        <v>0</v>
      </c>
      <c r="H58" s="760">
        <f t="shared" si="10"/>
        <v>267881</v>
      </c>
      <c r="I58" s="759">
        <f t="shared" si="10"/>
        <v>-267881</v>
      </c>
      <c r="J58" s="761">
        <f t="shared" si="10"/>
        <v>1429000</v>
      </c>
      <c r="K58" s="760">
        <f t="shared" si="10"/>
        <v>0</v>
      </c>
      <c r="L58" s="759">
        <f t="shared" si="10"/>
        <v>-1429000</v>
      </c>
      <c r="M58" s="785" t="s">
        <v>1869</v>
      </c>
    </row>
    <row r="59" spans="1:13" s="644" customFormat="1" ht="21" customHeight="1">
      <c r="A59" s="796" t="s">
        <v>1995</v>
      </c>
      <c r="B59" s="795" t="s">
        <v>1653</v>
      </c>
      <c r="C59" s="743">
        <v>107543000</v>
      </c>
      <c r="D59" s="741">
        <v>40008286</v>
      </c>
      <c r="E59" s="740">
        <v>39938810</v>
      </c>
      <c r="F59" s="739">
        <v>69476</v>
      </c>
      <c r="G59" s="741">
        <v>12643000</v>
      </c>
      <c r="H59" s="740">
        <v>10428133</v>
      </c>
      <c r="I59" s="739">
        <v>2214867</v>
      </c>
      <c r="J59" s="741">
        <v>24174000</v>
      </c>
      <c r="K59" s="740">
        <v>0</v>
      </c>
      <c r="L59" s="739">
        <v>30717714</v>
      </c>
      <c r="M59" s="794" t="s">
        <v>1713</v>
      </c>
    </row>
    <row r="60" spans="1:13" s="644" customFormat="1" ht="21" customHeight="1">
      <c r="A60" s="789" t="s">
        <v>1994</v>
      </c>
      <c r="B60" s="664" t="s">
        <v>430</v>
      </c>
      <c r="C60" s="631">
        <v>103466000</v>
      </c>
      <c r="D60" s="629">
        <v>38377001</v>
      </c>
      <c r="E60" s="614">
        <v>38377001</v>
      </c>
      <c r="F60" s="627">
        <v>0</v>
      </c>
      <c r="G60" s="629">
        <v>11823000</v>
      </c>
      <c r="H60" s="628">
        <v>10428133</v>
      </c>
      <c r="I60" s="627">
        <v>1394867</v>
      </c>
      <c r="J60" s="615">
        <v>23250000</v>
      </c>
      <c r="K60" s="614">
        <v>0</v>
      </c>
      <c r="L60" s="613">
        <v>30015999</v>
      </c>
      <c r="M60" s="788" t="s">
        <v>1861</v>
      </c>
    </row>
    <row r="61" spans="1:13" s="644" customFormat="1" ht="21" customHeight="1">
      <c r="A61" s="789" t="s">
        <v>1993</v>
      </c>
      <c r="B61" s="664" t="s">
        <v>432</v>
      </c>
      <c r="C61" s="616">
        <v>3897000</v>
      </c>
      <c r="D61" s="615">
        <v>1530571</v>
      </c>
      <c r="E61" s="614">
        <v>1477429</v>
      </c>
      <c r="F61" s="613">
        <v>53142</v>
      </c>
      <c r="G61" s="615">
        <v>800000</v>
      </c>
      <c r="H61" s="614">
        <v>0</v>
      </c>
      <c r="I61" s="613">
        <v>800000</v>
      </c>
      <c r="J61" s="615">
        <v>900000</v>
      </c>
      <c r="K61" s="614">
        <v>0</v>
      </c>
      <c r="L61" s="613">
        <v>666429</v>
      </c>
      <c r="M61" s="606"/>
    </row>
    <row r="62" spans="1:13" s="644" customFormat="1" ht="21" customHeight="1">
      <c r="A62" s="789" t="s">
        <v>1992</v>
      </c>
      <c r="B62" s="793" t="s">
        <v>434</v>
      </c>
      <c r="C62" s="799">
        <v>180000</v>
      </c>
      <c r="D62" s="791">
        <v>100714</v>
      </c>
      <c r="E62" s="614">
        <v>84380</v>
      </c>
      <c r="F62" s="798">
        <v>16334</v>
      </c>
      <c r="G62" s="791">
        <v>20000</v>
      </c>
      <c r="H62" s="792">
        <v>0</v>
      </c>
      <c r="I62" s="798">
        <v>20000</v>
      </c>
      <c r="J62" s="615">
        <v>24000</v>
      </c>
      <c r="K62" s="614">
        <v>0</v>
      </c>
      <c r="L62" s="613">
        <v>35286</v>
      </c>
      <c r="M62" s="814"/>
    </row>
    <row r="63" spans="1:13" s="644" customFormat="1" ht="21" customHeight="1">
      <c r="A63" s="789" t="s">
        <v>1991</v>
      </c>
      <c r="B63" s="624" t="s">
        <v>1651</v>
      </c>
      <c r="C63" s="623">
        <f>D63+G63+J63+K63+L63</f>
        <v>107543000</v>
      </c>
      <c r="D63" s="621">
        <f t="shared" ref="D63:L63" si="11">D64+D65+D66</f>
        <v>40008286</v>
      </c>
      <c r="E63" s="620">
        <f t="shared" si="11"/>
        <v>39938810</v>
      </c>
      <c r="F63" s="619">
        <f t="shared" si="11"/>
        <v>69476</v>
      </c>
      <c r="G63" s="621">
        <f t="shared" si="11"/>
        <v>12643000</v>
      </c>
      <c r="H63" s="620">
        <f t="shared" si="11"/>
        <v>12340194</v>
      </c>
      <c r="I63" s="619">
        <f t="shared" si="11"/>
        <v>302806</v>
      </c>
      <c r="J63" s="621">
        <f t="shared" si="11"/>
        <v>21589000</v>
      </c>
      <c r="K63" s="620">
        <f t="shared" si="11"/>
        <v>0</v>
      </c>
      <c r="L63" s="619">
        <f t="shared" si="11"/>
        <v>33302714</v>
      </c>
      <c r="M63" s="788"/>
    </row>
    <row r="64" spans="1:13" s="644" customFormat="1" ht="21" customHeight="1">
      <c r="A64" s="789"/>
      <c r="B64" s="664" t="s">
        <v>430</v>
      </c>
      <c r="C64" s="616">
        <f>D64+G64+J64+K64+L64</f>
        <v>103466000</v>
      </c>
      <c r="D64" s="615">
        <v>38377001</v>
      </c>
      <c r="E64" s="614">
        <v>38377001</v>
      </c>
      <c r="F64" s="613">
        <v>0</v>
      </c>
      <c r="G64" s="615">
        <v>11823000</v>
      </c>
      <c r="H64" s="614">
        <v>11817224</v>
      </c>
      <c r="I64" s="613">
        <f>G64-H64</f>
        <v>5776</v>
      </c>
      <c r="J64" s="615">
        <f>23250000-2285000</f>
        <v>20965000</v>
      </c>
      <c r="K64" s="614">
        <v>0</v>
      </c>
      <c r="L64" s="613">
        <f>30015999+2285000</f>
        <v>32300999</v>
      </c>
      <c r="M64" s="606"/>
    </row>
    <row r="65" spans="1:13" s="644" customFormat="1" ht="21" customHeight="1">
      <c r="A65" s="790" t="s">
        <v>1650</v>
      </c>
      <c r="B65" s="664" t="s">
        <v>432</v>
      </c>
      <c r="C65" s="616">
        <f>D65+G65+J65+K65+L65</f>
        <v>3897000</v>
      </c>
      <c r="D65" s="615">
        <v>1530571</v>
      </c>
      <c r="E65" s="614">
        <v>1477429</v>
      </c>
      <c r="F65" s="613">
        <v>53142</v>
      </c>
      <c r="G65" s="615">
        <v>800000</v>
      </c>
      <c r="H65" s="614">
        <v>522858</v>
      </c>
      <c r="I65" s="613">
        <f>G65-H65</f>
        <v>277142</v>
      </c>
      <c r="J65" s="615">
        <v>600000</v>
      </c>
      <c r="K65" s="614">
        <v>0</v>
      </c>
      <c r="L65" s="613">
        <f>666429+300000</f>
        <v>966429</v>
      </c>
      <c r="M65" s="606"/>
    </row>
    <row r="66" spans="1:13" s="644" customFormat="1" ht="21" customHeight="1">
      <c r="A66" s="789"/>
      <c r="B66" s="797" t="s">
        <v>434</v>
      </c>
      <c r="C66" s="616">
        <f>D66+G66+J66+K66+L66</f>
        <v>180000</v>
      </c>
      <c r="D66" s="615">
        <v>100714</v>
      </c>
      <c r="E66" s="792">
        <v>84380</v>
      </c>
      <c r="F66" s="613">
        <v>16334</v>
      </c>
      <c r="G66" s="791">
        <v>20000</v>
      </c>
      <c r="H66" s="614">
        <v>112</v>
      </c>
      <c r="I66" s="613">
        <f>G66-H66</f>
        <v>19888</v>
      </c>
      <c r="J66" s="615">
        <v>24000</v>
      </c>
      <c r="K66" s="614">
        <v>0</v>
      </c>
      <c r="L66" s="613">
        <v>35286</v>
      </c>
      <c r="M66" s="788"/>
    </row>
    <row r="67" spans="1:13" s="644" customFormat="1" ht="21" customHeight="1" thickBot="1">
      <c r="A67" s="787"/>
      <c r="B67" s="786" t="s">
        <v>1649</v>
      </c>
      <c r="C67" s="762">
        <f t="shared" ref="C67:L67" si="12">C63-C59</f>
        <v>0</v>
      </c>
      <c r="D67" s="761">
        <f t="shared" si="12"/>
        <v>0</v>
      </c>
      <c r="E67" s="760">
        <f t="shared" si="12"/>
        <v>0</v>
      </c>
      <c r="F67" s="759">
        <f t="shared" si="12"/>
        <v>0</v>
      </c>
      <c r="G67" s="761">
        <f t="shared" si="12"/>
        <v>0</v>
      </c>
      <c r="H67" s="760">
        <f t="shared" si="12"/>
        <v>1912061</v>
      </c>
      <c r="I67" s="759">
        <f t="shared" si="12"/>
        <v>-1912061</v>
      </c>
      <c r="J67" s="761">
        <f t="shared" si="12"/>
        <v>-2585000</v>
      </c>
      <c r="K67" s="760">
        <f t="shared" si="12"/>
        <v>0</v>
      </c>
      <c r="L67" s="759">
        <f t="shared" si="12"/>
        <v>2585000</v>
      </c>
      <c r="M67" s="785" t="s">
        <v>1869</v>
      </c>
    </row>
    <row r="68" spans="1:13" s="644" customFormat="1" ht="21" customHeight="1">
      <c r="A68" s="796" t="s">
        <v>1990</v>
      </c>
      <c r="B68" s="795" t="s">
        <v>1653</v>
      </c>
      <c r="C68" s="743">
        <v>141845000</v>
      </c>
      <c r="D68" s="741">
        <v>59876286</v>
      </c>
      <c r="E68" s="740">
        <v>58029983</v>
      </c>
      <c r="F68" s="739">
        <v>1846303</v>
      </c>
      <c r="G68" s="741">
        <v>40286000</v>
      </c>
      <c r="H68" s="740">
        <v>31600000</v>
      </c>
      <c r="I68" s="739">
        <v>8686000</v>
      </c>
      <c r="J68" s="741">
        <v>6429000</v>
      </c>
      <c r="K68" s="740">
        <v>0</v>
      </c>
      <c r="L68" s="739">
        <v>35253714</v>
      </c>
      <c r="M68" s="794" t="s">
        <v>1713</v>
      </c>
    </row>
    <row r="69" spans="1:13" s="644" customFormat="1" ht="21" customHeight="1">
      <c r="A69" s="789" t="s">
        <v>1989</v>
      </c>
      <c r="B69" s="664" t="s">
        <v>430</v>
      </c>
      <c r="C69" s="616">
        <v>136204000</v>
      </c>
      <c r="D69" s="629">
        <v>59446286</v>
      </c>
      <c r="E69" s="614">
        <v>57808115</v>
      </c>
      <c r="F69" s="627">
        <v>1638171</v>
      </c>
      <c r="G69" s="615">
        <v>40000000</v>
      </c>
      <c r="H69" s="628">
        <v>31600000</v>
      </c>
      <c r="I69" s="627">
        <v>8400000</v>
      </c>
      <c r="J69" s="615">
        <v>5741000</v>
      </c>
      <c r="K69" s="614">
        <v>0</v>
      </c>
      <c r="L69" s="613">
        <v>31016714</v>
      </c>
      <c r="M69" s="788" t="s">
        <v>1861</v>
      </c>
    </row>
    <row r="70" spans="1:13" s="644" customFormat="1" ht="21" customHeight="1">
      <c r="A70" s="789" t="s">
        <v>1988</v>
      </c>
      <c r="B70" s="664" t="s">
        <v>432</v>
      </c>
      <c r="C70" s="616">
        <v>5528000</v>
      </c>
      <c r="D70" s="615">
        <v>400000</v>
      </c>
      <c r="E70" s="614">
        <v>200000</v>
      </c>
      <c r="F70" s="613">
        <v>200000</v>
      </c>
      <c r="G70" s="615">
        <v>286000</v>
      </c>
      <c r="H70" s="614">
        <v>0</v>
      </c>
      <c r="I70" s="613">
        <v>286000</v>
      </c>
      <c r="J70" s="615">
        <v>658000</v>
      </c>
      <c r="K70" s="614">
        <v>0</v>
      </c>
      <c r="L70" s="613">
        <v>4184000</v>
      </c>
      <c r="M70" s="606"/>
    </row>
    <row r="71" spans="1:13" s="644" customFormat="1" ht="21" customHeight="1">
      <c r="A71" s="789" t="s">
        <v>1987</v>
      </c>
      <c r="B71" s="793" t="s">
        <v>434</v>
      </c>
      <c r="C71" s="799">
        <v>113000</v>
      </c>
      <c r="D71" s="791">
        <v>30000</v>
      </c>
      <c r="E71" s="614">
        <v>21868</v>
      </c>
      <c r="F71" s="798">
        <v>8132</v>
      </c>
      <c r="G71" s="791">
        <v>0</v>
      </c>
      <c r="H71" s="792">
        <v>0</v>
      </c>
      <c r="I71" s="798">
        <v>0</v>
      </c>
      <c r="J71" s="615">
        <v>30000</v>
      </c>
      <c r="K71" s="614">
        <v>0</v>
      </c>
      <c r="L71" s="613">
        <v>53000</v>
      </c>
      <c r="M71" s="814"/>
    </row>
    <row r="72" spans="1:13" s="644" customFormat="1" ht="21" customHeight="1">
      <c r="A72" s="789" t="s">
        <v>1986</v>
      </c>
      <c r="B72" s="624" t="s">
        <v>1651</v>
      </c>
      <c r="C72" s="623">
        <f>D72+G72+J72+K72+L72</f>
        <v>153419000</v>
      </c>
      <c r="D72" s="621">
        <f t="shared" ref="D72:L72" si="13">D73+D74+D75</f>
        <v>59876286</v>
      </c>
      <c r="E72" s="620">
        <f t="shared" si="13"/>
        <v>58029983</v>
      </c>
      <c r="F72" s="619">
        <f t="shared" si="13"/>
        <v>1846303</v>
      </c>
      <c r="G72" s="621">
        <f t="shared" si="13"/>
        <v>40286000</v>
      </c>
      <c r="H72" s="620">
        <f t="shared" si="13"/>
        <v>40077410</v>
      </c>
      <c r="I72" s="619">
        <f t="shared" si="13"/>
        <v>208590</v>
      </c>
      <c r="J72" s="621">
        <f t="shared" si="13"/>
        <v>5143000</v>
      </c>
      <c r="K72" s="620">
        <f t="shared" si="13"/>
        <v>0</v>
      </c>
      <c r="L72" s="619">
        <f t="shared" si="13"/>
        <v>48113714</v>
      </c>
      <c r="M72" s="788"/>
    </row>
    <row r="73" spans="1:13" s="644" customFormat="1" ht="21" customHeight="1">
      <c r="A73" s="789"/>
      <c r="B73" s="664" t="s">
        <v>430</v>
      </c>
      <c r="C73" s="616">
        <f>D73+G73+J73+K73+L73</f>
        <v>147778000</v>
      </c>
      <c r="D73" s="615">
        <v>59446286</v>
      </c>
      <c r="E73" s="614">
        <v>57808115</v>
      </c>
      <c r="F73" s="613">
        <v>1638171</v>
      </c>
      <c r="G73" s="615">
        <v>40000000</v>
      </c>
      <c r="H73" s="614">
        <v>40000000</v>
      </c>
      <c r="I73" s="613">
        <f>G73-H73</f>
        <v>0</v>
      </c>
      <c r="J73" s="615">
        <f>4455000</f>
        <v>4455000</v>
      </c>
      <c r="K73" s="614">
        <v>0</v>
      </c>
      <c r="L73" s="613">
        <f>31016714+12860000</f>
        <v>43876714</v>
      </c>
      <c r="M73" s="606"/>
    </row>
    <row r="74" spans="1:13" s="644" customFormat="1" ht="21" customHeight="1">
      <c r="A74" s="790" t="s">
        <v>1650</v>
      </c>
      <c r="B74" s="664" t="s">
        <v>432</v>
      </c>
      <c r="C74" s="616">
        <f>D74+G74+J74+K74+L74</f>
        <v>5528000</v>
      </c>
      <c r="D74" s="615">
        <v>400000</v>
      </c>
      <c r="E74" s="614">
        <v>200000</v>
      </c>
      <c r="F74" s="613">
        <v>200000</v>
      </c>
      <c r="G74" s="615">
        <v>286000</v>
      </c>
      <c r="H74" s="614">
        <v>77410</v>
      </c>
      <c r="I74" s="613">
        <f>G74-H74</f>
        <v>208590</v>
      </c>
      <c r="J74" s="615">
        <v>658000</v>
      </c>
      <c r="K74" s="614">
        <v>0</v>
      </c>
      <c r="L74" s="613">
        <v>4184000</v>
      </c>
      <c r="M74" s="606"/>
    </row>
    <row r="75" spans="1:13" s="644" customFormat="1" ht="21" customHeight="1">
      <c r="A75" s="789"/>
      <c r="B75" s="797" t="s">
        <v>434</v>
      </c>
      <c r="C75" s="616">
        <f>D75+G75+J75+K75+L75</f>
        <v>113000</v>
      </c>
      <c r="D75" s="615">
        <v>30000</v>
      </c>
      <c r="E75" s="792">
        <v>21868</v>
      </c>
      <c r="F75" s="613">
        <v>8132</v>
      </c>
      <c r="G75" s="791">
        <v>0</v>
      </c>
      <c r="H75" s="614">
        <v>0</v>
      </c>
      <c r="I75" s="613">
        <f>G75-H75</f>
        <v>0</v>
      </c>
      <c r="J75" s="615">
        <v>30000</v>
      </c>
      <c r="K75" s="614">
        <v>0</v>
      </c>
      <c r="L75" s="613">
        <v>53000</v>
      </c>
      <c r="M75" s="788"/>
    </row>
    <row r="76" spans="1:13" s="644" customFormat="1" ht="21" customHeight="1" thickBot="1">
      <c r="A76" s="787"/>
      <c r="B76" s="786" t="s">
        <v>1649</v>
      </c>
      <c r="C76" s="762">
        <f t="shared" ref="C76:L76" si="14">C72-C68</f>
        <v>11574000</v>
      </c>
      <c r="D76" s="761">
        <f t="shared" si="14"/>
        <v>0</v>
      </c>
      <c r="E76" s="760">
        <f t="shared" si="14"/>
        <v>0</v>
      </c>
      <c r="F76" s="759">
        <f t="shared" si="14"/>
        <v>0</v>
      </c>
      <c r="G76" s="761">
        <f t="shared" si="14"/>
        <v>0</v>
      </c>
      <c r="H76" s="760">
        <f t="shared" si="14"/>
        <v>8477410</v>
      </c>
      <c r="I76" s="759">
        <f t="shared" si="14"/>
        <v>-8477410</v>
      </c>
      <c r="J76" s="761">
        <f t="shared" si="14"/>
        <v>-1286000</v>
      </c>
      <c r="K76" s="760">
        <f t="shared" si="14"/>
        <v>0</v>
      </c>
      <c r="L76" s="759">
        <f t="shared" si="14"/>
        <v>12860000</v>
      </c>
      <c r="M76" s="785" t="s">
        <v>1869</v>
      </c>
    </row>
    <row r="77" spans="1:13" s="644" customFormat="1" ht="21" customHeight="1">
      <c r="A77" s="796" t="s">
        <v>1985</v>
      </c>
      <c r="B77" s="795" t="s">
        <v>1653</v>
      </c>
      <c r="C77" s="743">
        <v>102445000</v>
      </c>
      <c r="D77" s="741">
        <v>23387714</v>
      </c>
      <c r="E77" s="740">
        <v>21261598</v>
      </c>
      <c r="F77" s="739">
        <v>2126116</v>
      </c>
      <c r="G77" s="741">
        <v>7836000</v>
      </c>
      <c r="H77" s="740">
        <v>4000000</v>
      </c>
      <c r="I77" s="739">
        <v>3836000</v>
      </c>
      <c r="J77" s="741">
        <v>8571000</v>
      </c>
      <c r="K77" s="740">
        <v>0</v>
      </c>
      <c r="L77" s="739">
        <v>62650286</v>
      </c>
      <c r="M77" s="794" t="s">
        <v>1713</v>
      </c>
    </row>
    <row r="78" spans="1:13" s="644" customFormat="1" ht="21" customHeight="1">
      <c r="A78" s="789" t="s">
        <v>1984</v>
      </c>
      <c r="B78" s="664" t="s">
        <v>430</v>
      </c>
      <c r="C78" s="616">
        <v>98510000</v>
      </c>
      <c r="D78" s="629">
        <v>23168914</v>
      </c>
      <c r="E78" s="614">
        <v>21049926</v>
      </c>
      <c r="F78" s="627">
        <v>2118988</v>
      </c>
      <c r="G78" s="615">
        <v>7836000</v>
      </c>
      <c r="H78" s="628">
        <v>4000000</v>
      </c>
      <c r="I78" s="627">
        <v>3836000</v>
      </c>
      <c r="J78" s="615">
        <v>7236000</v>
      </c>
      <c r="K78" s="614">
        <v>0</v>
      </c>
      <c r="L78" s="613">
        <v>60269086</v>
      </c>
      <c r="M78" s="788" t="s">
        <v>1861</v>
      </c>
    </row>
    <row r="79" spans="1:13" s="644" customFormat="1" ht="21" customHeight="1">
      <c r="A79" s="789" t="s">
        <v>1983</v>
      </c>
      <c r="B79" s="664" t="s">
        <v>432</v>
      </c>
      <c r="C79" s="616">
        <v>3773000</v>
      </c>
      <c r="D79" s="615">
        <v>200000</v>
      </c>
      <c r="E79" s="614">
        <v>200000</v>
      </c>
      <c r="F79" s="613">
        <v>0</v>
      </c>
      <c r="G79" s="615">
        <v>0</v>
      </c>
      <c r="H79" s="614">
        <v>0</v>
      </c>
      <c r="I79" s="613">
        <v>0</v>
      </c>
      <c r="J79" s="615">
        <v>1305000</v>
      </c>
      <c r="K79" s="614">
        <v>0</v>
      </c>
      <c r="L79" s="613">
        <v>2268000</v>
      </c>
      <c r="M79" s="606"/>
    </row>
    <row r="80" spans="1:13" s="644" customFormat="1" ht="21" customHeight="1">
      <c r="A80" s="789" t="s">
        <v>1982</v>
      </c>
      <c r="B80" s="793" t="s">
        <v>434</v>
      </c>
      <c r="C80" s="799">
        <v>162000</v>
      </c>
      <c r="D80" s="791">
        <v>18800</v>
      </c>
      <c r="E80" s="614">
        <v>11672</v>
      </c>
      <c r="F80" s="798">
        <v>7128</v>
      </c>
      <c r="G80" s="615">
        <v>0</v>
      </c>
      <c r="H80" s="792">
        <v>0</v>
      </c>
      <c r="I80" s="798">
        <v>0</v>
      </c>
      <c r="J80" s="615">
        <v>30000</v>
      </c>
      <c r="K80" s="614">
        <v>0</v>
      </c>
      <c r="L80" s="613">
        <v>113200</v>
      </c>
      <c r="M80" s="814"/>
    </row>
    <row r="81" spans="1:13" s="644" customFormat="1" ht="21" customHeight="1">
      <c r="A81" s="789" t="s">
        <v>1981</v>
      </c>
      <c r="B81" s="624" t="s">
        <v>1651</v>
      </c>
      <c r="C81" s="623">
        <f>D81+G81+J81+K81+L81</f>
        <v>102445000</v>
      </c>
      <c r="D81" s="621">
        <f t="shared" ref="D81:L81" si="15">D82+D83+D84</f>
        <v>23387714</v>
      </c>
      <c r="E81" s="620">
        <f t="shared" si="15"/>
        <v>21261598</v>
      </c>
      <c r="F81" s="619">
        <f t="shared" si="15"/>
        <v>2126116</v>
      </c>
      <c r="G81" s="621">
        <f t="shared" si="15"/>
        <v>7836000</v>
      </c>
      <c r="H81" s="620">
        <f t="shared" si="15"/>
        <v>7550000</v>
      </c>
      <c r="I81" s="619">
        <f t="shared" si="15"/>
        <v>286000</v>
      </c>
      <c r="J81" s="621">
        <f t="shared" si="15"/>
        <v>5713000</v>
      </c>
      <c r="K81" s="620">
        <f t="shared" si="15"/>
        <v>0</v>
      </c>
      <c r="L81" s="619">
        <f t="shared" si="15"/>
        <v>65508286</v>
      </c>
      <c r="M81" s="788"/>
    </row>
    <row r="82" spans="1:13" s="644" customFormat="1" ht="21" customHeight="1">
      <c r="A82" s="789"/>
      <c r="B82" s="664" t="s">
        <v>430</v>
      </c>
      <c r="C82" s="616">
        <f>D82+G82+J82+K82+L82</f>
        <v>98510000</v>
      </c>
      <c r="D82" s="615">
        <v>23168914</v>
      </c>
      <c r="E82" s="614">
        <v>21049926</v>
      </c>
      <c r="F82" s="613">
        <v>2118988</v>
      </c>
      <c r="G82" s="615">
        <v>7836000</v>
      </c>
      <c r="H82" s="614">
        <v>7550000</v>
      </c>
      <c r="I82" s="613">
        <f>G82-H82</f>
        <v>286000</v>
      </c>
      <c r="J82" s="615">
        <f>7236000-2858000</f>
        <v>4378000</v>
      </c>
      <c r="K82" s="614">
        <v>0</v>
      </c>
      <c r="L82" s="613">
        <f>60269086+2858000</f>
        <v>63127086</v>
      </c>
      <c r="M82" s="606"/>
    </row>
    <row r="83" spans="1:13" s="644" customFormat="1" ht="21" customHeight="1">
      <c r="A83" s="790" t="s">
        <v>1650</v>
      </c>
      <c r="B83" s="664" t="s">
        <v>432</v>
      </c>
      <c r="C83" s="616">
        <f>D83+G83+J83+K83+L83</f>
        <v>3773000</v>
      </c>
      <c r="D83" s="615">
        <v>200000</v>
      </c>
      <c r="E83" s="614">
        <v>200000</v>
      </c>
      <c r="F83" s="613">
        <v>0</v>
      </c>
      <c r="G83" s="615">
        <v>0</v>
      </c>
      <c r="H83" s="614">
        <v>0</v>
      </c>
      <c r="I83" s="613">
        <f>G83-H83</f>
        <v>0</v>
      </c>
      <c r="J83" s="615">
        <v>1305000</v>
      </c>
      <c r="K83" s="614">
        <v>0</v>
      </c>
      <c r="L83" s="613">
        <v>2268000</v>
      </c>
      <c r="M83" s="606"/>
    </row>
    <row r="84" spans="1:13" s="644" customFormat="1" ht="21" customHeight="1">
      <c r="A84" s="789"/>
      <c r="B84" s="797" t="s">
        <v>434</v>
      </c>
      <c r="C84" s="616">
        <f>D84+G84+J84+K84+L84</f>
        <v>162000</v>
      </c>
      <c r="D84" s="615">
        <v>18800</v>
      </c>
      <c r="E84" s="792">
        <v>11672</v>
      </c>
      <c r="F84" s="613">
        <v>7128</v>
      </c>
      <c r="G84" s="791">
        <v>0</v>
      </c>
      <c r="H84" s="614">
        <v>0</v>
      </c>
      <c r="I84" s="613">
        <f>G84-H84</f>
        <v>0</v>
      </c>
      <c r="J84" s="615">
        <v>30000</v>
      </c>
      <c r="K84" s="614">
        <v>0</v>
      </c>
      <c r="L84" s="613">
        <v>113200</v>
      </c>
      <c r="M84" s="788"/>
    </row>
    <row r="85" spans="1:13" s="644" customFormat="1" ht="21" customHeight="1" thickBot="1">
      <c r="A85" s="787"/>
      <c r="B85" s="786" t="s">
        <v>1649</v>
      </c>
      <c r="C85" s="762">
        <f t="shared" ref="C85:L85" si="16">C81-C77</f>
        <v>0</v>
      </c>
      <c r="D85" s="761">
        <f t="shared" si="16"/>
        <v>0</v>
      </c>
      <c r="E85" s="760">
        <f t="shared" si="16"/>
        <v>0</v>
      </c>
      <c r="F85" s="759">
        <f t="shared" si="16"/>
        <v>0</v>
      </c>
      <c r="G85" s="761">
        <f t="shared" si="16"/>
        <v>0</v>
      </c>
      <c r="H85" s="760">
        <f t="shared" si="16"/>
        <v>3550000</v>
      </c>
      <c r="I85" s="759">
        <f t="shared" si="16"/>
        <v>-3550000</v>
      </c>
      <c r="J85" s="761">
        <f t="shared" si="16"/>
        <v>-2858000</v>
      </c>
      <c r="K85" s="760">
        <f t="shared" si="16"/>
        <v>0</v>
      </c>
      <c r="L85" s="759">
        <f t="shared" si="16"/>
        <v>2858000</v>
      </c>
      <c r="M85" s="785" t="s">
        <v>1869</v>
      </c>
    </row>
    <row r="86" spans="1:13" s="644" customFormat="1" ht="21" customHeight="1">
      <c r="A86" s="796" t="s">
        <v>1980</v>
      </c>
      <c r="B86" s="795" t="s">
        <v>1653</v>
      </c>
      <c r="C86" s="743">
        <v>78859000</v>
      </c>
      <c r="D86" s="741">
        <v>2742714</v>
      </c>
      <c r="E86" s="740">
        <v>2309431</v>
      </c>
      <c r="F86" s="739">
        <v>433283</v>
      </c>
      <c r="G86" s="741">
        <v>0</v>
      </c>
      <c r="H86" s="740">
        <v>0</v>
      </c>
      <c r="I86" s="739">
        <v>0</v>
      </c>
      <c r="J86" s="741">
        <v>7852000</v>
      </c>
      <c r="K86" s="740">
        <v>10015000</v>
      </c>
      <c r="L86" s="739">
        <v>43545286</v>
      </c>
      <c r="M86" s="794" t="s">
        <v>1713</v>
      </c>
    </row>
    <row r="87" spans="1:13" s="644" customFormat="1" ht="21" customHeight="1">
      <c r="A87" s="789" t="s">
        <v>1979</v>
      </c>
      <c r="B87" s="664" t="s">
        <v>430</v>
      </c>
      <c r="C87" s="631">
        <v>76019000</v>
      </c>
      <c r="D87" s="629">
        <v>2728714</v>
      </c>
      <c r="E87" s="614">
        <v>2302831</v>
      </c>
      <c r="F87" s="627">
        <v>425883</v>
      </c>
      <c r="G87" s="629">
        <v>0</v>
      </c>
      <c r="H87" s="628">
        <v>0</v>
      </c>
      <c r="I87" s="627">
        <v>0</v>
      </c>
      <c r="J87" s="615">
        <v>7852000</v>
      </c>
      <c r="K87" s="614">
        <v>10000000</v>
      </c>
      <c r="L87" s="613">
        <v>40734286</v>
      </c>
      <c r="M87" s="788" t="s">
        <v>1861</v>
      </c>
    </row>
    <row r="88" spans="1:13" s="644" customFormat="1" ht="21" customHeight="1">
      <c r="A88" s="789" t="s">
        <v>1978</v>
      </c>
      <c r="B88" s="664" t="s">
        <v>432</v>
      </c>
      <c r="C88" s="616">
        <v>2748000</v>
      </c>
      <c r="D88" s="615">
        <v>0</v>
      </c>
      <c r="E88" s="614">
        <v>0</v>
      </c>
      <c r="F88" s="613">
        <v>0</v>
      </c>
      <c r="G88" s="615">
        <v>0</v>
      </c>
      <c r="H88" s="614">
        <v>0</v>
      </c>
      <c r="I88" s="613">
        <v>0</v>
      </c>
      <c r="J88" s="615">
        <v>0</v>
      </c>
      <c r="K88" s="614">
        <v>0</v>
      </c>
      <c r="L88" s="613">
        <v>2748000</v>
      </c>
      <c r="M88" s="606"/>
    </row>
    <row r="89" spans="1:13" s="644" customFormat="1" ht="21" customHeight="1">
      <c r="A89" s="789" t="s">
        <v>1977</v>
      </c>
      <c r="B89" s="793" t="s">
        <v>434</v>
      </c>
      <c r="C89" s="799">
        <v>92000</v>
      </c>
      <c r="D89" s="791">
        <v>14000</v>
      </c>
      <c r="E89" s="614">
        <v>6600</v>
      </c>
      <c r="F89" s="798">
        <v>7400</v>
      </c>
      <c r="G89" s="615">
        <v>0</v>
      </c>
      <c r="H89" s="792">
        <v>0</v>
      </c>
      <c r="I89" s="798">
        <v>0</v>
      </c>
      <c r="J89" s="615">
        <v>0</v>
      </c>
      <c r="K89" s="614">
        <v>15000</v>
      </c>
      <c r="L89" s="613">
        <v>63000</v>
      </c>
      <c r="M89" s="814"/>
    </row>
    <row r="90" spans="1:13" s="644" customFormat="1" ht="21" customHeight="1">
      <c r="A90" s="789" t="s">
        <v>1976</v>
      </c>
      <c r="B90" s="624" t="s">
        <v>1651</v>
      </c>
      <c r="C90" s="623">
        <f>D90+G90+J90+K90+L90</f>
        <v>78859000</v>
      </c>
      <c r="D90" s="621">
        <f t="shared" ref="D90:L90" si="17">D91+D92+D93</f>
        <v>2742714</v>
      </c>
      <c r="E90" s="620">
        <f t="shared" si="17"/>
        <v>2309431</v>
      </c>
      <c r="F90" s="619">
        <f t="shared" si="17"/>
        <v>433283</v>
      </c>
      <c r="G90" s="621">
        <f t="shared" si="17"/>
        <v>0</v>
      </c>
      <c r="H90" s="620">
        <f t="shared" si="17"/>
        <v>0</v>
      </c>
      <c r="I90" s="619">
        <f t="shared" si="17"/>
        <v>0</v>
      </c>
      <c r="J90" s="621">
        <f t="shared" si="17"/>
        <v>2000000</v>
      </c>
      <c r="K90" s="620">
        <f t="shared" si="17"/>
        <v>10015000</v>
      </c>
      <c r="L90" s="619">
        <f t="shared" si="17"/>
        <v>64101286</v>
      </c>
      <c r="M90" s="788"/>
    </row>
    <row r="91" spans="1:13" s="644" customFormat="1" ht="21" customHeight="1">
      <c r="A91" s="789"/>
      <c r="B91" s="664" t="s">
        <v>430</v>
      </c>
      <c r="C91" s="616">
        <f>D91+G91+J91+K91+L91</f>
        <v>76019000</v>
      </c>
      <c r="D91" s="615">
        <v>2728714</v>
      </c>
      <c r="E91" s="614">
        <v>2302831</v>
      </c>
      <c r="F91" s="613">
        <v>425883</v>
      </c>
      <c r="G91" s="615">
        <v>0</v>
      </c>
      <c r="H91" s="614">
        <v>0</v>
      </c>
      <c r="I91" s="613">
        <f>G91-H91</f>
        <v>0</v>
      </c>
      <c r="J91" s="615">
        <v>2000000</v>
      </c>
      <c r="K91" s="614">
        <v>10000000</v>
      </c>
      <c r="L91" s="613">
        <f>40734286+20556000</f>
        <v>61290286</v>
      </c>
      <c r="M91" s="606"/>
    </row>
    <row r="92" spans="1:13" s="644" customFormat="1" ht="21" customHeight="1">
      <c r="A92" s="790" t="s">
        <v>1650</v>
      </c>
      <c r="B92" s="664" t="s">
        <v>432</v>
      </c>
      <c r="C92" s="616">
        <f>D92+G92+J92+K92+L92</f>
        <v>2748000</v>
      </c>
      <c r="D92" s="615">
        <v>0</v>
      </c>
      <c r="E92" s="614">
        <v>0</v>
      </c>
      <c r="F92" s="613">
        <v>0</v>
      </c>
      <c r="G92" s="615">
        <v>0</v>
      </c>
      <c r="H92" s="614">
        <v>0</v>
      </c>
      <c r="I92" s="613">
        <f>G92-H92</f>
        <v>0</v>
      </c>
      <c r="J92" s="615">
        <v>0</v>
      </c>
      <c r="K92" s="614">
        <v>0</v>
      </c>
      <c r="L92" s="613">
        <v>2748000</v>
      </c>
      <c r="M92" s="606"/>
    </row>
    <row r="93" spans="1:13" s="644" customFormat="1" ht="21" customHeight="1">
      <c r="A93" s="789"/>
      <c r="B93" s="797" t="s">
        <v>434</v>
      </c>
      <c r="C93" s="616">
        <f>D93+G93+J93+K93+L93</f>
        <v>92000</v>
      </c>
      <c r="D93" s="615">
        <v>14000</v>
      </c>
      <c r="E93" s="792">
        <v>6600</v>
      </c>
      <c r="F93" s="613">
        <v>7400</v>
      </c>
      <c r="G93" s="791">
        <v>0</v>
      </c>
      <c r="H93" s="614">
        <v>0</v>
      </c>
      <c r="I93" s="613">
        <f>G93-H93</f>
        <v>0</v>
      </c>
      <c r="J93" s="615">
        <v>0</v>
      </c>
      <c r="K93" s="614">
        <v>15000</v>
      </c>
      <c r="L93" s="613">
        <v>63000</v>
      </c>
      <c r="M93" s="788"/>
    </row>
    <row r="94" spans="1:13" s="644" customFormat="1" ht="21" customHeight="1" thickBot="1">
      <c r="A94" s="787"/>
      <c r="B94" s="786" t="s">
        <v>1649</v>
      </c>
      <c r="C94" s="762">
        <f t="shared" ref="C94:L94" si="18">C90-C86</f>
        <v>0</v>
      </c>
      <c r="D94" s="761">
        <f t="shared" si="18"/>
        <v>0</v>
      </c>
      <c r="E94" s="760">
        <f t="shared" si="18"/>
        <v>0</v>
      </c>
      <c r="F94" s="759">
        <f t="shared" si="18"/>
        <v>0</v>
      </c>
      <c r="G94" s="761">
        <f t="shared" si="18"/>
        <v>0</v>
      </c>
      <c r="H94" s="760">
        <f t="shared" si="18"/>
        <v>0</v>
      </c>
      <c r="I94" s="759">
        <f t="shared" si="18"/>
        <v>0</v>
      </c>
      <c r="J94" s="761">
        <f t="shared" si="18"/>
        <v>-5852000</v>
      </c>
      <c r="K94" s="760">
        <f t="shared" si="18"/>
        <v>0</v>
      </c>
      <c r="L94" s="759">
        <f t="shared" si="18"/>
        <v>20556000</v>
      </c>
      <c r="M94" s="785" t="s">
        <v>1869</v>
      </c>
    </row>
    <row r="95" spans="1:13" s="644" customFormat="1" ht="21" customHeight="1">
      <c r="A95" s="796" t="s">
        <v>1975</v>
      </c>
      <c r="B95" s="795" t="s">
        <v>1653</v>
      </c>
      <c r="C95" s="743">
        <v>18700000</v>
      </c>
      <c r="D95" s="741">
        <v>286000</v>
      </c>
      <c r="E95" s="740">
        <v>0</v>
      </c>
      <c r="F95" s="739">
        <v>286000</v>
      </c>
      <c r="G95" s="741">
        <v>2505000</v>
      </c>
      <c r="H95" s="740">
        <v>143467</v>
      </c>
      <c r="I95" s="739">
        <v>2361533</v>
      </c>
      <c r="J95" s="741">
        <v>2500000</v>
      </c>
      <c r="K95" s="740">
        <v>3010000</v>
      </c>
      <c r="L95" s="739">
        <v>10399000</v>
      </c>
      <c r="M95" s="794" t="s">
        <v>1713</v>
      </c>
    </row>
    <row r="96" spans="1:13" s="644" customFormat="1" ht="21" customHeight="1">
      <c r="A96" s="789"/>
      <c r="B96" s="664" t="s">
        <v>430</v>
      </c>
      <c r="C96" s="631">
        <v>16600000</v>
      </c>
      <c r="D96" s="629">
        <v>286000</v>
      </c>
      <c r="E96" s="614">
        <v>0</v>
      </c>
      <c r="F96" s="627">
        <v>286000</v>
      </c>
      <c r="G96" s="629">
        <v>2495000</v>
      </c>
      <c r="H96" s="628">
        <v>143326</v>
      </c>
      <c r="I96" s="627">
        <v>2351674</v>
      </c>
      <c r="J96" s="615">
        <v>2500000</v>
      </c>
      <c r="K96" s="614">
        <v>3000000</v>
      </c>
      <c r="L96" s="613">
        <v>8319000</v>
      </c>
      <c r="M96" s="788" t="s">
        <v>1861</v>
      </c>
    </row>
    <row r="97" spans="1:13" s="644" customFormat="1" ht="21" customHeight="1">
      <c r="A97" s="789" t="s">
        <v>1974</v>
      </c>
      <c r="B97" s="664" t="s">
        <v>432</v>
      </c>
      <c r="C97" s="616">
        <v>2000000</v>
      </c>
      <c r="D97" s="615">
        <v>0</v>
      </c>
      <c r="E97" s="614">
        <v>0</v>
      </c>
      <c r="F97" s="613">
        <v>0</v>
      </c>
      <c r="G97" s="615">
        <v>0</v>
      </c>
      <c r="H97" s="614">
        <v>0</v>
      </c>
      <c r="I97" s="613">
        <v>0</v>
      </c>
      <c r="J97" s="615">
        <v>0</v>
      </c>
      <c r="K97" s="614">
        <v>0</v>
      </c>
      <c r="L97" s="613">
        <v>2000000</v>
      </c>
      <c r="M97" s="606"/>
    </row>
    <row r="98" spans="1:13" s="644" customFormat="1" ht="21" customHeight="1">
      <c r="A98" s="789" t="s">
        <v>1973</v>
      </c>
      <c r="B98" s="793" t="s">
        <v>434</v>
      </c>
      <c r="C98" s="616">
        <v>100000</v>
      </c>
      <c r="D98" s="791">
        <v>0</v>
      </c>
      <c r="E98" s="614">
        <v>0</v>
      </c>
      <c r="F98" s="798"/>
      <c r="G98" s="791">
        <v>10000</v>
      </c>
      <c r="H98" s="792">
        <v>141</v>
      </c>
      <c r="I98" s="798">
        <v>9859</v>
      </c>
      <c r="J98" s="615">
        <v>0</v>
      </c>
      <c r="K98" s="614">
        <v>10000</v>
      </c>
      <c r="L98" s="613">
        <v>80000</v>
      </c>
      <c r="M98" s="814"/>
    </row>
    <row r="99" spans="1:13" s="644" customFormat="1" ht="21" customHeight="1">
      <c r="A99" s="789" t="s">
        <v>1972</v>
      </c>
      <c r="B99" s="624" t="s">
        <v>1651</v>
      </c>
      <c r="C99" s="623">
        <f>D99+G99+J99+K99+L99</f>
        <v>18700000</v>
      </c>
      <c r="D99" s="621">
        <f t="shared" ref="D99:L99" si="19">D100+D101+D102</f>
        <v>286000</v>
      </c>
      <c r="E99" s="620">
        <f t="shared" si="19"/>
        <v>0</v>
      </c>
      <c r="F99" s="619">
        <f t="shared" si="19"/>
        <v>286000</v>
      </c>
      <c r="G99" s="621">
        <f t="shared" si="19"/>
        <v>2505000</v>
      </c>
      <c r="H99" s="620">
        <f t="shared" si="19"/>
        <v>143762</v>
      </c>
      <c r="I99" s="619">
        <f t="shared" si="19"/>
        <v>2361238</v>
      </c>
      <c r="J99" s="621">
        <f t="shared" si="19"/>
        <v>500000</v>
      </c>
      <c r="K99" s="620">
        <f t="shared" si="19"/>
        <v>3010000</v>
      </c>
      <c r="L99" s="619">
        <f t="shared" si="19"/>
        <v>12399000</v>
      </c>
      <c r="M99" s="788"/>
    </row>
    <row r="100" spans="1:13" s="644" customFormat="1" ht="21" customHeight="1">
      <c r="A100" s="789" t="s">
        <v>1971</v>
      </c>
      <c r="B100" s="664" t="s">
        <v>430</v>
      </c>
      <c r="C100" s="616">
        <f>D100+G100+J100+K100+L100</f>
        <v>16600000</v>
      </c>
      <c r="D100" s="615">
        <v>286000</v>
      </c>
      <c r="E100" s="614">
        <v>0</v>
      </c>
      <c r="F100" s="613">
        <v>286000</v>
      </c>
      <c r="G100" s="615">
        <v>2495000</v>
      </c>
      <c r="H100" s="614">
        <v>143326</v>
      </c>
      <c r="I100" s="613">
        <f>G100-H100</f>
        <v>2351674</v>
      </c>
      <c r="J100" s="615">
        <v>500000</v>
      </c>
      <c r="K100" s="614">
        <v>3000000</v>
      </c>
      <c r="L100" s="613">
        <f>8319000+2000000</f>
        <v>10319000</v>
      </c>
      <c r="M100" s="606"/>
    </row>
    <row r="101" spans="1:13" s="644" customFormat="1" ht="21" customHeight="1">
      <c r="A101" s="790"/>
      <c r="B101" s="664" t="s">
        <v>432</v>
      </c>
      <c r="C101" s="616">
        <f>D101+G101+J101+K101+L101</f>
        <v>2000000</v>
      </c>
      <c r="D101" s="615">
        <v>0</v>
      </c>
      <c r="E101" s="614">
        <v>0</v>
      </c>
      <c r="F101" s="613">
        <v>0</v>
      </c>
      <c r="G101" s="615">
        <v>0</v>
      </c>
      <c r="H101" s="614">
        <v>0</v>
      </c>
      <c r="I101" s="613">
        <f>G101-H101</f>
        <v>0</v>
      </c>
      <c r="J101" s="615">
        <v>0</v>
      </c>
      <c r="K101" s="614">
        <v>0</v>
      </c>
      <c r="L101" s="613">
        <v>2000000</v>
      </c>
      <c r="M101" s="606"/>
    </row>
    <row r="102" spans="1:13" s="644" customFormat="1" ht="21" customHeight="1">
      <c r="A102" s="789" t="s">
        <v>1650</v>
      </c>
      <c r="B102" s="797" t="s">
        <v>434</v>
      </c>
      <c r="C102" s="616">
        <f>D102+G102+J102+K102+L102</f>
        <v>100000</v>
      </c>
      <c r="D102" s="615">
        <v>0</v>
      </c>
      <c r="E102" s="792">
        <v>0</v>
      </c>
      <c r="F102" s="613">
        <v>0</v>
      </c>
      <c r="G102" s="791">
        <v>10000</v>
      </c>
      <c r="H102" s="614">
        <v>436</v>
      </c>
      <c r="I102" s="613">
        <f>G102-H102</f>
        <v>9564</v>
      </c>
      <c r="J102" s="615">
        <v>0</v>
      </c>
      <c r="K102" s="614">
        <v>10000</v>
      </c>
      <c r="L102" s="613">
        <v>80000</v>
      </c>
      <c r="M102" s="788"/>
    </row>
    <row r="103" spans="1:13" s="644" customFormat="1" ht="21" customHeight="1" thickBot="1">
      <c r="A103" s="787"/>
      <c r="B103" s="786" t="s">
        <v>1649</v>
      </c>
      <c r="C103" s="762">
        <f t="shared" ref="C103:L103" si="20">C99-C95</f>
        <v>0</v>
      </c>
      <c r="D103" s="761">
        <f t="shared" si="20"/>
        <v>0</v>
      </c>
      <c r="E103" s="760">
        <f t="shared" si="20"/>
        <v>0</v>
      </c>
      <c r="F103" s="759">
        <f t="shared" si="20"/>
        <v>0</v>
      </c>
      <c r="G103" s="761">
        <f t="shared" si="20"/>
        <v>0</v>
      </c>
      <c r="H103" s="760">
        <f t="shared" si="20"/>
        <v>295</v>
      </c>
      <c r="I103" s="759">
        <f t="shared" si="20"/>
        <v>-295</v>
      </c>
      <c r="J103" s="761">
        <f t="shared" si="20"/>
        <v>-2000000</v>
      </c>
      <c r="K103" s="760">
        <f t="shared" si="20"/>
        <v>0</v>
      </c>
      <c r="L103" s="759">
        <f t="shared" si="20"/>
        <v>2000000</v>
      </c>
      <c r="M103" s="785" t="s">
        <v>1869</v>
      </c>
    </row>
    <row r="104" spans="1:13" s="644" customFormat="1" ht="21" customHeight="1">
      <c r="A104" s="796" t="s">
        <v>1970</v>
      </c>
      <c r="B104" s="795" t="s">
        <v>1653</v>
      </c>
      <c r="C104" s="743">
        <v>46598000</v>
      </c>
      <c r="D104" s="741">
        <v>0</v>
      </c>
      <c r="E104" s="740">
        <v>0</v>
      </c>
      <c r="F104" s="739">
        <v>0</v>
      </c>
      <c r="G104" s="741">
        <v>1853000</v>
      </c>
      <c r="H104" s="740">
        <v>0</v>
      </c>
      <c r="I104" s="739">
        <v>1853000</v>
      </c>
      <c r="J104" s="741">
        <v>3441000</v>
      </c>
      <c r="K104" s="740">
        <v>5020000</v>
      </c>
      <c r="L104" s="739">
        <v>36284000</v>
      </c>
      <c r="M104" s="794" t="s">
        <v>1713</v>
      </c>
    </row>
    <row r="105" spans="1:13" s="644" customFormat="1" ht="21" customHeight="1">
      <c r="A105" s="789" t="s">
        <v>1969</v>
      </c>
      <c r="B105" s="664" t="s">
        <v>430</v>
      </c>
      <c r="C105" s="631">
        <v>44003000</v>
      </c>
      <c r="D105" s="629">
        <v>0</v>
      </c>
      <c r="E105" s="614">
        <v>0</v>
      </c>
      <c r="F105" s="627">
        <v>0</v>
      </c>
      <c r="G105" s="629">
        <v>1853000</v>
      </c>
      <c r="H105" s="628">
        <v>0</v>
      </c>
      <c r="I105" s="627">
        <v>1853000</v>
      </c>
      <c r="J105" s="615">
        <v>3441000</v>
      </c>
      <c r="K105" s="614">
        <v>5000000</v>
      </c>
      <c r="L105" s="613">
        <v>33709000</v>
      </c>
      <c r="M105" s="788" t="s">
        <v>1861</v>
      </c>
    </row>
    <row r="106" spans="1:13" s="644" customFormat="1" ht="21" customHeight="1">
      <c r="A106" s="789" t="s">
        <v>1968</v>
      </c>
      <c r="B106" s="664" t="s">
        <v>432</v>
      </c>
      <c r="C106" s="616">
        <v>2506000</v>
      </c>
      <c r="D106" s="615">
        <v>0</v>
      </c>
      <c r="E106" s="614">
        <v>0</v>
      </c>
      <c r="F106" s="613">
        <v>0</v>
      </c>
      <c r="G106" s="615">
        <v>0</v>
      </c>
      <c r="H106" s="614">
        <v>0</v>
      </c>
      <c r="I106" s="613">
        <v>0</v>
      </c>
      <c r="J106" s="615">
        <v>0</v>
      </c>
      <c r="K106" s="614">
        <v>0</v>
      </c>
      <c r="L106" s="613">
        <v>2506000</v>
      </c>
      <c r="M106" s="606"/>
    </row>
    <row r="107" spans="1:13" s="644" customFormat="1" ht="21" customHeight="1">
      <c r="A107" s="789" t="s">
        <v>1967</v>
      </c>
      <c r="B107" s="793" t="s">
        <v>434</v>
      </c>
      <c r="C107" s="616">
        <v>89000</v>
      </c>
      <c r="D107" s="791">
        <v>0</v>
      </c>
      <c r="E107" s="614">
        <v>0</v>
      </c>
      <c r="F107" s="798">
        <v>0</v>
      </c>
      <c r="G107" s="791">
        <v>0</v>
      </c>
      <c r="H107" s="792">
        <v>0</v>
      </c>
      <c r="I107" s="798">
        <v>0</v>
      </c>
      <c r="J107" s="615">
        <v>0</v>
      </c>
      <c r="K107" s="614">
        <v>20000</v>
      </c>
      <c r="L107" s="613">
        <v>69000</v>
      </c>
      <c r="M107" s="814"/>
    </row>
    <row r="108" spans="1:13" s="644" customFormat="1" ht="21" customHeight="1">
      <c r="A108" s="789" t="s">
        <v>1966</v>
      </c>
      <c r="B108" s="624" t="s">
        <v>1651</v>
      </c>
      <c r="C108" s="623">
        <f>D108+G108+J108+K108+L108</f>
        <v>46598000</v>
      </c>
      <c r="D108" s="621">
        <f t="shared" ref="D108:L108" si="21">D109+D110+D111</f>
        <v>0</v>
      </c>
      <c r="E108" s="620">
        <f t="shared" si="21"/>
        <v>0</v>
      </c>
      <c r="F108" s="619">
        <f t="shared" si="21"/>
        <v>0</v>
      </c>
      <c r="G108" s="621">
        <f t="shared" si="21"/>
        <v>1853000</v>
      </c>
      <c r="H108" s="620">
        <f t="shared" si="21"/>
        <v>1853000</v>
      </c>
      <c r="I108" s="619">
        <f t="shared" si="21"/>
        <v>0</v>
      </c>
      <c r="J108" s="621">
        <f t="shared" si="21"/>
        <v>441000</v>
      </c>
      <c r="K108" s="620">
        <f t="shared" si="21"/>
        <v>5020000</v>
      </c>
      <c r="L108" s="619">
        <f t="shared" si="21"/>
        <v>39284000</v>
      </c>
      <c r="M108" s="788"/>
    </row>
    <row r="109" spans="1:13" s="644" customFormat="1" ht="21" customHeight="1">
      <c r="A109" s="789"/>
      <c r="B109" s="664" t="s">
        <v>430</v>
      </c>
      <c r="C109" s="616">
        <f>D109+G109+J109+K109+L109</f>
        <v>44003000</v>
      </c>
      <c r="D109" s="615">
        <v>0</v>
      </c>
      <c r="E109" s="614">
        <v>0</v>
      </c>
      <c r="F109" s="613">
        <v>0</v>
      </c>
      <c r="G109" s="615">
        <v>1853000</v>
      </c>
      <c r="H109" s="614">
        <v>1853000</v>
      </c>
      <c r="I109" s="613">
        <f>G109-H109</f>
        <v>0</v>
      </c>
      <c r="J109" s="615">
        <v>441000</v>
      </c>
      <c r="K109" s="614">
        <v>5000000</v>
      </c>
      <c r="L109" s="613">
        <f>33709000+3000000</f>
        <v>36709000</v>
      </c>
      <c r="M109" s="606"/>
    </row>
    <row r="110" spans="1:13" s="644" customFormat="1" ht="21" customHeight="1">
      <c r="A110" s="790" t="s">
        <v>1650</v>
      </c>
      <c r="B110" s="664" t="s">
        <v>432</v>
      </c>
      <c r="C110" s="616">
        <f>D110+G110+J110+K110+L110</f>
        <v>2506000</v>
      </c>
      <c r="D110" s="615">
        <v>0</v>
      </c>
      <c r="E110" s="614">
        <v>0</v>
      </c>
      <c r="F110" s="613">
        <v>0</v>
      </c>
      <c r="G110" s="615">
        <v>0</v>
      </c>
      <c r="H110" s="614">
        <v>0</v>
      </c>
      <c r="I110" s="613">
        <f>G110-H110</f>
        <v>0</v>
      </c>
      <c r="J110" s="615">
        <v>0</v>
      </c>
      <c r="K110" s="614">
        <v>0</v>
      </c>
      <c r="L110" s="613">
        <v>2506000</v>
      </c>
      <c r="M110" s="606"/>
    </row>
    <row r="111" spans="1:13" s="644" customFormat="1" ht="21" customHeight="1">
      <c r="A111" s="789"/>
      <c r="B111" s="797" t="s">
        <v>434</v>
      </c>
      <c r="C111" s="616">
        <f>D111+G111+J111+K111+L111</f>
        <v>89000</v>
      </c>
      <c r="D111" s="615">
        <v>0</v>
      </c>
      <c r="E111" s="792">
        <v>0</v>
      </c>
      <c r="F111" s="613">
        <v>0</v>
      </c>
      <c r="G111" s="791">
        <v>0</v>
      </c>
      <c r="H111" s="614">
        <v>0</v>
      </c>
      <c r="I111" s="613">
        <f>G111-H111</f>
        <v>0</v>
      </c>
      <c r="J111" s="615">
        <v>0</v>
      </c>
      <c r="K111" s="614">
        <v>20000</v>
      </c>
      <c r="L111" s="613">
        <v>69000</v>
      </c>
      <c r="M111" s="788"/>
    </row>
    <row r="112" spans="1:13" s="644" customFormat="1" ht="21" customHeight="1" thickBot="1">
      <c r="A112" s="787"/>
      <c r="B112" s="786" t="s">
        <v>1649</v>
      </c>
      <c r="C112" s="762">
        <f t="shared" ref="C112:L112" si="22">C108-C104</f>
        <v>0</v>
      </c>
      <c r="D112" s="761">
        <f t="shared" si="22"/>
        <v>0</v>
      </c>
      <c r="E112" s="760">
        <f t="shared" si="22"/>
        <v>0</v>
      </c>
      <c r="F112" s="759">
        <f t="shared" si="22"/>
        <v>0</v>
      </c>
      <c r="G112" s="761">
        <f t="shared" si="22"/>
        <v>0</v>
      </c>
      <c r="H112" s="760">
        <f t="shared" si="22"/>
        <v>1853000</v>
      </c>
      <c r="I112" s="759">
        <f t="shared" si="22"/>
        <v>-1853000</v>
      </c>
      <c r="J112" s="761">
        <f t="shared" si="22"/>
        <v>-3000000</v>
      </c>
      <c r="K112" s="760">
        <f t="shared" si="22"/>
        <v>0</v>
      </c>
      <c r="L112" s="759">
        <f t="shared" si="22"/>
        <v>3000000</v>
      </c>
      <c r="M112" s="785" t="s">
        <v>1869</v>
      </c>
    </row>
    <row r="113" spans="1:13" s="644" customFormat="1" ht="21" customHeight="1">
      <c r="A113" s="796" t="s">
        <v>1965</v>
      </c>
      <c r="B113" s="795" t="s">
        <v>1653</v>
      </c>
      <c r="C113" s="743">
        <v>51086000</v>
      </c>
      <c r="D113" s="741">
        <v>0</v>
      </c>
      <c r="E113" s="740">
        <v>0</v>
      </c>
      <c r="F113" s="739">
        <v>0</v>
      </c>
      <c r="G113" s="741">
        <v>300000</v>
      </c>
      <c r="H113" s="740">
        <v>0</v>
      </c>
      <c r="I113" s="739">
        <v>300000</v>
      </c>
      <c r="J113" s="741">
        <v>20000000</v>
      </c>
      <c r="K113" s="740">
        <v>5010000</v>
      </c>
      <c r="L113" s="739">
        <v>25776000</v>
      </c>
      <c r="M113" s="794" t="s">
        <v>1713</v>
      </c>
    </row>
    <row r="114" spans="1:13" s="644" customFormat="1" ht="21" customHeight="1">
      <c r="A114" s="789" t="s">
        <v>1964</v>
      </c>
      <c r="B114" s="664" t="s">
        <v>430</v>
      </c>
      <c r="C114" s="631">
        <v>50187000</v>
      </c>
      <c r="D114" s="629">
        <v>0</v>
      </c>
      <c r="E114" s="614">
        <v>0</v>
      </c>
      <c r="F114" s="627">
        <v>0</v>
      </c>
      <c r="G114" s="629">
        <v>290000</v>
      </c>
      <c r="H114" s="628">
        <v>0</v>
      </c>
      <c r="I114" s="627">
        <v>290000</v>
      </c>
      <c r="J114" s="629">
        <v>20000000</v>
      </c>
      <c r="K114" s="614">
        <v>5000000</v>
      </c>
      <c r="L114" s="613">
        <v>24897000</v>
      </c>
      <c r="M114" s="788" t="s">
        <v>1861</v>
      </c>
    </row>
    <row r="115" spans="1:13" s="644" customFormat="1" ht="21" customHeight="1">
      <c r="A115" s="789" t="s">
        <v>1963</v>
      </c>
      <c r="B115" s="664" t="s">
        <v>432</v>
      </c>
      <c r="C115" s="616"/>
      <c r="D115" s="615">
        <v>0</v>
      </c>
      <c r="E115" s="614">
        <v>0</v>
      </c>
      <c r="F115" s="613">
        <v>0</v>
      </c>
      <c r="G115" s="615">
        <v>0</v>
      </c>
      <c r="H115" s="614">
        <v>0</v>
      </c>
      <c r="I115" s="613">
        <v>0</v>
      </c>
      <c r="J115" s="615">
        <v>0</v>
      </c>
      <c r="K115" s="614">
        <v>0</v>
      </c>
      <c r="L115" s="613">
        <v>0</v>
      </c>
      <c r="M115" s="606"/>
    </row>
    <row r="116" spans="1:13" s="644" customFormat="1" ht="21" customHeight="1">
      <c r="A116" s="789" t="s">
        <v>1962</v>
      </c>
      <c r="B116" s="793" t="s">
        <v>434</v>
      </c>
      <c r="C116" s="616">
        <v>899000</v>
      </c>
      <c r="D116" s="791">
        <v>0</v>
      </c>
      <c r="E116" s="614">
        <v>0</v>
      </c>
      <c r="F116" s="798">
        <v>0</v>
      </c>
      <c r="G116" s="791">
        <v>10000</v>
      </c>
      <c r="H116" s="792">
        <v>0</v>
      </c>
      <c r="I116" s="798">
        <v>10000</v>
      </c>
      <c r="J116" s="615">
        <v>0</v>
      </c>
      <c r="K116" s="614">
        <v>10000</v>
      </c>
      <c r="L116" s="613">
        <v>879000</v>
      </c>
      <c r="M116" s="814"/>
    </row>
    <row r="117" spans="1:13" s="644" customFormat="1" ht="21" customHeight="1">
      <c r="A117" s="789" t="s">
        <v>1961</v>
      </c>
      <c r="B117" s="624" t="s">
        <v>1651</v>
      </c>
      <c r="C117" s="623">
        <f>D117+G117+J117+K117+L117</f>
        <v>51086000</v>
      </c>
      <c r="D117" s="621">
        <f t="shared" ref="D117:L117" si="23">D118+D119+D120</f>
        <v>0</v>
      </c>
      <c r="E117" s="620">
        <f t="shared" si="23"/>
        <v>0</v>
      </c>
      <c r="F117" s="619">
        <f t="shared" si="23"/>
        <v>0</v>
      </c>
      <c r="G117" s="621">
        <f t="shared" si="23"/>
        <v>300000</v>
      </c>
      <c r="H117" s="620">
        <f t="shared" si="23"/>
        <v>274129</v>
      </c>
      <c r="I117" s="619">
        <f t="shared" si="23"/>
        <v>25871</v>
      </c>
      <c r="J117" s="621">
        <f t="shared" si="23"/>
        <v>1000000</v>
      </c>
      <c r="K117" s="620">
        <f t="shared" si="23"/>
        <v>5010000</v>
      </c>
      <c r="L117" s="619">
        <f t="shared" si="23"/>
        <v>44776000</v>
      </c>
      <c r="M117" s="788"/>
    </row>
    <row r="118" spans="1:13" s="644" customFormat="1" ht="21" customHeight="1">
      <c r="A118" s="789"/>
      <c r="B118" s="664" t="s">
        <v>430</v>
      </c>
      <c r="C118" s="616">
        <f>D118+G118+J118+K118+L118</f>
        <v>50187000</v>
      </c>
      <c r="D118" s="615">
        <v>0</v>
      </c>
      <c r="E118" s="614">
        <v>0</v>
      </c>
      <c r="F118" s="613">
        <v>0</v>
      </c>
      <c r="G118" s="615">
        <v>290000</v>
      </c>
      <c r="H118" s="614">
        <v>274129</v>
      </c>
      <c r="I118" s="613">
        <f>G118-H118</f>
        <v>15871</v>
      </c>
      <c r="J118" s="615">
        <v>1000000</v>
      </c>
      <c r="K118" s="614">
        <v>5000000</v>
      </c>
      <c r="L118" s="613">
        <f>24897000+19000000</f>
        <v>43897000</v>
      </c>
      <c r="M118" s="606"/>
    </row>
    <row r="119" spans="1:13" s="644" customFormat="1" ht="21" customHeight="1">
      <c r="A119" s="790" t="s">
        <v>1650</v>
      </c>
      <c r="B119" s="664" t="s">
        <v>432</v>
      </c>
      <c r="C119" s="616">
        <f>D119+G119+J119+K119+L119</f>
        <v>0</v>
      </c>
      <c r="D119" s="615">
        <v>0</v>
      </c>
      <c r="E119" s="614">
        <v>0</v>
      </c>
      <c r="F119" s="613">
        <v>0</v>
      </c>
      <c r="G119" s="615">
        <v>0</v>
      </c>
      <c r="H119" s="614">
        <v>0</v>
      </c>
      <c r="I119" s="613">
        <f>G119-H119</f>
        <v>0</v>
      </c>
      <c r="J119" s="615">
        <v>0</v>
      </c>
      <c r="K119" s="614">
        <v>0</v>
      </c>
      <c r="L119" s="613">
        <v>0</v>
      </c>
      <c r="M119" s="606"/>
    </row>
    <row r="120" spans="1:13" s="644" customFormat="1" ht="21" customHeight="1">
      <c r="A120" s="789"/>
      <c r="B120" s="797" t="s">
        <v>434</v>
      </c>
      <c r="C120" s="616">
        <f>D120+G120+J120+K120+L120</f>
        <v>899000</v>
      </c>
      <c r="D120" s="615">
        <v>0</v>
      </c>
      <c r="E120" s="792">
        <v>0</v>
      </c>
      <c r="F120" s="613">
        <v>0</v>
      </c>
      <c r="G120" s="791">
        <v>10000</v>
      </c>
      <c r="H120" s="614">
        <v>0</v>
      </c>
      <c r="I120" s="613">
        <f>G120-H120</f>
        <v>10000</v>
      </c>
      <c r="J120" s="615">
        <v>0</v>
      </c>
      <c r="K120" s="614">
        <v>10000</v>
      </c>
      <c r="L120" s="613">
        <v>879000</v>
      </c>
      <c r="M120" s="788"/>
    </row>
    <row r="121" spans="1:13" s="644" customFormat="1" ht="21" customHeight="1" thickBot="1">
      <c r="A121" s="787"/>
      <c r="B121" s="786" t="s">
        <v>1649</v>
      </c>
      <c r="C121" s="762">
        <f t="shared" ref="C121:L121" si="24">C117-C113</f>
        <v>0</v>
      </c>
      <c r="D121" s="761">
        <f t="shared" si="24"/>
        <v>0</v>
      </c>
      <c r="E121" s="760">
        <f t="shared" si="24"/>
        <v>0</v>
      </c>
      <c r="F121" s="759">
        <f t="shared" si="24"/>
        <v>0</v>
      </c>
      <c r="G121" s="761">
        <f t="shared" si="24"/>
        <v>0</v>
      </c>
      <c r="H121" s="760">
        <f t="shared" si="24"/>
        <v>274129</v>
      </c>
      <c r="I121" s="759">
        <f t="shared" si="24"/>
        <v>-274129</v>
      </c>
      <c r="J121" s="761">
        <f t="shared" si="24"/>
        <v>-19000000</v>
      </c>
      <c r="K121" s="760">
        <f t="shared" si="24"/>
        <v>0</v>
      </c>
      <c r="L121" s="759">
        <f t="shared" si="24"/>
        <v>19000000</v>
      </c>
      <c r="M121" s="785" t="s">
        <v>1869</v>
      </c>
    </row>
    <row r="122" spans="1:13" s="644" customFormat="1" ht="21" customHeight="1">
      <c r="A122" s="796" t="s">
        <v>1960</v>
      </c>
      <c r="B122" s="795" t="s">
        <v>1653</v>
      </c>
      <c r="C122" s="743">
        <v>14528000</v>
      </c>
      <c r="D122" s="741">
        <v>0</v>
      </c>
      <c r="E122" s="740">
        <v>0</v>
      </c>
      <c r="F122" s="739">
        <v>0</v>
      </c>
      <c r="G122" s="741">
        <v>0</v>
      </c>
      <c r="H122" s="740">
        <v>0</v>
      </c>
      <c r="I122" s="739">
        <v>0</v>
      </c>
      <c r="J122" s="741">
        <v>4020000</v>
      </c>
      <c r="K122" s="740">
        <v>0</v>
      </c>
      <c r="L122" s="739">
        <v>10508000</v>
      </c>
      <c r="M122" s="794" t="s">
        <v>1713</v>
      </c>
    </row>
    <row r="123" spans="1:13" s="644" customFormat="1" ht="21" customHeight="1">
      <c r="A123" s="789" t="s">
        <v>1959</v>
      </c>
      <c r="B123" s="664" t="s">
        <v>430</v>
      </c>
      <c r="C123" s="616">
        <v>13555000</v>
      </c>
      <c r="D123" s="615">
        <v>0</v>
      </c>
      <c r="E123" s="614">
        <v>0</v>
      </c>
      <c r="F123" s="613">
        <v>0</v>
      </c>
      <c r="G123" s="615">
        <v>0</v>
      </c>
      <c r="H123" s="614">
        <v>0</v>
      </c>
      <c r="I123" s="613">
        <v>0</v>
      </c>
      <c r="J123" s="615">
        <v>4000000</v>
      </c>
      <c r="K123" s="614">
        <v>0</v>
      </c>
      <c r="L123" s="613">
        <v>9555000</v>
      </c>
      <c r="M123" s="788" t="s">
        <v>1861</v>
      </c>
    </row>
    <row r="124" spans="1:13" s="644" customFormat="1" ht="21" customHeight="1">
      <c r="A124" s="789" t="s">
        <v>1958</v>
      </c>
      <c r="B124" s="664" t="s">
        <v>432</v>
      </c>
      <c r="C124" s="616">
        <v>951000</v>
      </c>
      <c r="D124" s="615">
        <v>0</v>
      </c>
      <c r="E124" s="614">
        <v>0</v>
      </c>
      <c r="F124" s="613">
        <v>0</v>
      </c>
      <c r="G124" s="615">
        <v>0</v>
      </c>
      <c r="H124" s="614">
        <v>0</v>
      </c>
      <c r="I124" s="613">
        <v>0</v>
      </c>
      <c r="J124" s="615">
        <v>0</v>
      </c>
      <c r="K124" s="614">
        <v>0</v>
      </c>
      <c r="L124" s="613">
        <v>951000</v>
      </c>
      <c r="M124" s="606"/>
    </row>
    <row r="125" spans="1:13" s="644" customFormat="1" ht="21" customHeight="1">
      <c r="A125" s="789" t="s">
        <v>1957</v>
      </c>
      <c r="B125" s="793" t="s">
        <v>434</v>
      </c>
      <c r="C125" s="616">
        <v>22000</v>
      </c>
      <c r="D125" s="615">
        <v>0</v>
      </c>
      <c r="E125" s="792">
        <v>0</v>
      </c>
      <c r="F125" s="613">
        <v>0</v>
      </c>
      <c r="G125" s="615">
        <v>0</v>
      </c>
      <c r="H125" s="614">
        <v>0</v>
      </c>
      <c r="I125" s="613">
        <v>0</v>
      </c>
      <c r="J125" s="615">
        <v>20000</v>
      </c>
      <c r="K125" s="614">
        <v>0</v>
      </c>
      <c r="L125" s="613">
        <v>2000</v>
      </c>
      <c r="M125" s="814"/>
    </row>
    <row r="126" spans="1:13" s="644" customFormat="1" ht="21" customHeight="1">
      <c r="A126" s="789" t="s">
        <v>1956</v>
      </c>
      <c r="B126" s="624" t="s">
        <v>1651</v>
      </c>
      <c r="C126" s="623">
        <f>D126+G126+J126+K126+L126</f>
        <v>14528000</v>
      </c>
      <c r="D126" s="621">
        <f t="shared" ref="D126:L126" si="25">D127+D128+D129</f>
        <v>0</v>
      </c>
      <c r="E126" s="620">
        <f t="shared" si="25"/>
        <v>0</v>
      </c>
      <c r="F126" s="619">
        <f t="shared" si="25"/>
        <v>0</v>
      </c>
      <c r="G126" s="621">
        <f t="shared" si="25"/>
        <v>0</v>
      </c>
      <c r="H126" s="620">
        <f t="shared" si="25"/>
        <v>0</v>
      </c>
      <c r="I126" s="619">
        <f t="shared" si="25"/>
        <v>0</v>
      </c>
      <c r="J126" s="621">
        <f t="shared" si="25"/>
        <v>671571</v>
      </c>
      <c r="K126" s="620">
        <f t="shared" si="25"/>
        <v>0</v>
      </c>
      <c r="L126" s="619">
        <f t="shared" si="25"/>
        <v>13856429</v>
      </c>
      <c r="M126" s="788"/>
    </row>
    <row r="127" spans="1:13" s="644" customFormat="1" ht="21" customHeight="1">
      <c r="A127" s="789"/>
      <c r="B127" s="664" t="s">
        <v>430</v>
      </c>
      <c r="C127" s="616">
        <f>D127+G127+J127+K127+L127</f>
        <v>13555000</v>
      </c>
      <c r="D127" s="615">
        <v>0</v>
      </c>
      <c r="E127" s="614">
        <v>0</v>
      </c>
      <c r="F127" s="613">
        <v>0</v>
      </c>
      <c r="G127" s="615">
        <v>0</v>
      </c>
      <c r="H127" s="614">
        <v>0</v>
      </c>
      <c r="I127" s="613">
        <f>G127-H127</f>
        <v>0</v>
      </c>
      <c r="J127" s="615">
        <f>4000000-3348429</f>
        <v>651571</v>
      </c>
      <c r="K127" s="614">
        <v>0</v>
      </c>
      <c r="L127" s="613">
        <f>9555000+3348429</f>
        <v>12903429</v>
      </c>
      <c r="M127" s="606"/>
    </row>
    <row r="128" spans="1:13" s="644" customFormat="1" ht="21" customHeight="1">
      <c r="A128" s="790" t="s">
        <v>1650</v>
      </c>
      <c r="B128" s="664" t="s">
        <v>432</v>
      </c>
      <c r="C128" s="616">
        <f>D128+G128+J128+K128+L128</f>
        <v>951000</v>
      </c>
      <c r="D128" s="615">
        <v>0</v>
      </c>
      <c r="E128" s="614">
        <v>0</v>
      </c>
      <c r="F128" s="613">
        <v>0</v>
      </c>
      <c r="G128" s="615">
        <v>0</v>
      </c>
      <c r="H128" s="614">
        <v>0</v>
      </c>
      <c r="I128" s="613">
        <f>G128-H128</f>
        <v>0</v>
      </c>
      <c r="J128" s="615">
        <v>0</v>
      </c>
      <c r="K128" s="614">
        <v>0</v>
      </c>
      <c r="L128" s="613">
        <v>951000</v>
      </c>
      <c r="M128" s="606"/>
    </row>
    <row r="129" spans="1:13" s="644" customFormat="1" ht="21" customHeight="1">
      <c r="A129" s="789"/>
      <c r="B129" s="797" t="s">
        <v>434</v>
      </c>
      <c r="C129" s="616">
        <f>D129+G129+J129+K129+L129</f>
        <v>22000</v>
      </c>
      <c r="D129" s="615">
        <v>0</v>
      </c>
      <c r="E129" s="792">
        <v>0</v>
      </c>
      <c r="F129" s="613">
        <v>0</v>
      </c>
      <c r="G129" s="791">
        <v>0</v>
      </c>
      <c r="H129" s="614">
        <v>0</v>
      </c>
      <c r="I129" s="613">
        <f>G129-H129</f>
        <v>0</v>
      </c>
      <c r="J129" s="615">
        <v>20000</v>
      </c>
      <c r="K129" s="614">
        <v>0</v>
      </c>
      <c r="L129" s="613">
        <v>2000</v>
      </c>
      <c r="M129" s="788"/>
    </row>
    <row r="130" spans="1:13" s="644" customFormat="1" ht="21" customHeight="1" thickBot="1">
      <c r="A130" s="787"/>
      <c r="B130" s="786" t="s">
        <v>1649</v>
      </c>
      <c r="C130" s="762">
        <f t="shared" ref="C130:L130" si="26">C126-C122</f>
        <v>0</v>
      </c>
      <c r="D130" s="761">
        <f t="shared" si="26"/>
        <v>0</v>
      </c>
      <c r="E130" s="760">
        <f t="shared" si="26"/>
        <v>0</v>
      </c>
      <c r="F130" s="759">
        <f t="shared" si="26"/>
        <v>0</v>
      </c>
      <c r="G130" s="761">
        <f t="shared" si="26"/>
        <v>0</v>
      </c>
      <c r="H130" s="760">
        <f t="shared" si="26"/>
        <v>0</v>
      </c>
      <c r="I130" s="759">
        <f t="shared" si="26"/>
        <v>0</v>
      </c>
      <c r="J130" s="761">
        <f t="shared" si="26"/>
        <v>-3348429</v>
      </c>
      <c r="K130" s="760">
        <f t="shared" si="26"/>
        <v>0</v>
      </c>
      <c r="L130" s="759">
        <f t="shared" si="26"/>
        <v>3348429</v>
      </c>
      <c r="M130" s="785" t="s">
        <v>1869</v>
      </c>
    </row>
    <row r="131" spans="1:13" s="644" customFormat="1" ht="21" customHeight="1">
      <c r="A131" s="796" t="s">
        <v>1955</v>
      </c>
      <c r="B131" s="795" t="s">
        <v>1653</v>
      </c>
      <c r="C131" s="743">
        <v>23234000</v>
      </c>
      <c r="D131" s="741">
        <v>0</v>
      </c>
      <c r="E131" s="740">
        <v>0</v>
      </c>
      <c r="F131" s="739">
        <v>0</v>
      </c>
      <c r="G131" s="741">
        <v>5446000</v>
      </c>
      <c r="H131" s="740">
        <v>2200</v>
      </c>
      <c r="I131" s="739">
        <v>5443800</v>
      </c>
      <c r="J131" s="741">
        <v>9313000</v>
      </c>
      <c r="K131" s="740">
        <v>7200000</v>
      </c>
      <c r="L131" s="739">
        <v>1275000</v>
      </c>
      <c r="M131" s="794" t="s">
        <v>1713</v>
      </c>
    </row>
    <row r="132" spans="1:13" s="644" customFormat="1" ht="21" customHeight="1">
      <c r="A132" s="789" t="s">
        <v>1954</v>
      </c>
      <c r="B132" s="664" t="s">
        <v>430</v>
      </c>
      <c r="C132" s="631">
        <v>22797000</v>
      </c>
      <c r="D132" s="629">
        <v>0</v>
      </c>
      <c r="E132" s="614">
        <v>0</v>
      </c>
      <c r="F132" s="627">
        <v>0</v>
      </c>
      <c r="G132" s="629">
        <v>5426000</v>
      </c>
      <c r="H132" s="628">
        <v>0</v>
      </c>
      <c r="I132" s="627">
        <v>5426000</v>
      </c>
      <c r="J132" s="615">
        <v>9313000</v>
      </c>
      <c r="K132" s="614">
        <v>7000000</v>
      </c>
      <c r="L132" s="613">
        <v>1058000</v>
      </c>
      <c r="M132" s="788" t="s">
        <v>1861</v>
      </c>
    </row>
    <row r="133" spans="1:13" s="644" customFormat="1" ht="21" customHeight="1">
      <c r="A133" s="789" t="s">
        <v>1953</v>
      </c>
      <c r="B133" s="664" t="s">
        <v>432</v>
      </c>
      <c r="C133" s="616">
        <v>417000</v>
      </c>
      <c r="D133" s="615">
        <v>0</v>
      </c>
      <c r="E133" s="614">
        <v>0</v>
      </c>
      <c r="F133" s="613">
        <v>0</v>
      </c>
      <c r="G133" s="615">
        <v>0</v>
      </c>
      <c r="H133" s="614">
        <v>0</v>
      </c>
      <c r="I133" s="613">
        <v>0</v>
      </c>
      <c r="J133" s="615">
        <v>0</v>
      </c>
      <c r="K133" s="614">
        <v>200000</v>
      </c>
      <c r="L133" s="613">
        <v>217000</v>
      </c>
      <c r="M133" s="606"/>
    </row>
    <row r="134" spans="1:13" s="644" customFormat="1" ht="21" customHeight="1">
      <c r="A134" s="789" t="s">
        <v>1952</v>
      </c>
      <c r="B134" s="793" t="s">
        <v>434</v>
      </c>
      <c r="C134" s="799">
        <v>20000</v>
      </c>
      <c r="D134" s="791">
        <v>0</v>
      </c>
      <c r="E134" s="614">
        <v>0</v>
      </c>
      <c r="F134" s="798">
        <v>0</v>
      </c>
      <c r="G134" s="615">
        <v>20000</v>
      </c>
      <c r="H134" s="792">
        <v>2200</v>
      </c>
      <c r="I134" s="798">
        <v>17800</v>
      </c>
      <c r="J134" s="615">
        <v>0</v>
      </c>
      <c r="K134" s="614">
        <v>0</v>
      </c>
      <c r="L134" s="613">
        <v>0</v>
      </c>
      <c r="M134" s="814"/>
    </row>
    <row r="135" spans="1:13" s="644" customFormat="1" ht="21" customHeight="1">
      <c r="A135" s="789" t="s">
        <v>1951</v>
      </c>
      <c r="B135" s="624" t="s">
        <v>1651</v>
      </c>
      <c r="C135" s="623">
        <f>D135+G135+J135+K135+L135</f>
        <v>23234000</v>
      </c>
      <c r="D135" s="621">
        <f t="shared" ref="D135:L135" si="27">D136+D137+D138</f>
        <v>0</v>
      </c>
      <c r="E135" s="620">
        <f t="shared" si="27"/>
        <v>0</v>
      </c>
      <c r="F135" s="619">
        <f t="shared" si="27"/>
        <v>0</v>
      </c>
      <c r="G135" s="621">
        <f t="shared" si="27"/>
        <v>5446000</v>
      </c>
      <c r="H135" s="620">
        <f t="shared" si="27"/>
        <v>239374</v>
      </c>
      <c r="I135" s="619">
        <f t="shared" si="27"/>
        <v>5206626</v>
      </c>
      <c r="J135" s="621">
        <f t="shared" si="27"/>
        <v>1000000</v>
      </c>
      <c r="K135" s="620">
        <f t="shared" si="27"/>
        <v>7200000</v>
      </c>
      <c r="L135" s="619">
        <f t="shared" si="27"/>
        <v>9588000</v>
      </c>
      <c r="M135" s="788"/>
    </row>
    <row r="136" spans="1:13" s="644" customFormat="1" ht="21" customHeight="1">
      <c r="A136" s="789"/>
      <c r="B136" s="664" t="s">
        <v>430</v>
      </c>
      <c r="C136" s="616">
        <f>D136+G136+J136+K136+L136</f>
        <v>22797000</v>
      </c>
      <c r="D136" s="615">
        <v>0</v>
      </c>
      <c r="E136" s="614">
        <v>0</v>
      </c>
      <c r="F136" s="613">
        <v>0</v>
      </c>
      <c r="G136" s="615">
        <v>5426000</v>
      </c>
      <c r="H136" s="614">
        <v>237174</v>
      </c>
      <c r="I136" s="613">
        <f>G136-H136</f>
        <v>5188826</v>
      </c>
      <c r="J136" s="615">
        <v>1000000</v>
      </c>
      <c r="K136" s="614">
        <v>7000000</v>
      </c>
      <c r="L136" s="613">
        <f>1058000+8313000</f>
        <v>9371000</v>
      </c>
      <c r="M136" s="606"/>
    </row>
    <row r="137" spans="1:13" s="644" customFormat="1" ht="21" customHeight="1">
      <c r="A137" s="790" t="s">
        <v>1650</v>
      </c>
      <c r="B137" s="664" t="s">
        <v>432</v>
      </c>
      <c r="C137" s="616">
        <f>D137+G137+J137+K137+L137</f>
        <v>417000</v>
      </c>
      <c r="D137" s="615">
        <v>0</v>
      </c>
      <c r="E137" s="614">
        <v>0</v>
      </c>
      <c r="F137" s="613">
        <v>0</v>
      </c>
      <c r="G137" s="615"/>
      <c r="H137" s="614"/>
      <c r="I137" s="613">
        <f>G137-H137</f>
        <v>0</v>
      </c>
      <c r="J137" s="615">
        <v>0</v>
      </c>
      <c r="K137" s="614">
        <v>200000</v>
      </c>
      <c r="L137" s="613">
        <v>217000</v>
      </c>
      <c r="M137" s="606"/>
    </row>
    <row r="138" spans="1:13" s="644" customFormat="1" ht="21" customHeight="1">
      <c r="A138" s="789"/>
      <c r="B138" s="797" t="s">
        <v>434</v>
      </c>
      <c r="C138" s="616">
        <f>D138+G138+J138+K138+L138</f>
        <v>20000</v>
      </c>
      <c r="D138" s="615">
        <v>0</v>
      </c>
      <c r="E138" s="792">
        <v>0</v>
      </c>
      <c r="F138" s="613">
        <v>0</v>
      </c>
      <c r="G138" s="791">
        <v>20000</v>
      </c>
      <c r="H138" s="614">
        <v>2200</v>
      </c>
      <c r="I138" s="613">
        <f>G138-H138</f>
        <v>17800</v>
      </c>
      <c r="J138" s="615">
        <v>0</v>
      </c>
      <c r="K138" s="614">
        <v>0</v>
      </c>
      <c r="L138" s="613">
        <v>0</v>
      </c>
      <c r="M138" s="788"/>
    </row>
    <row r="139" spans="1:13" s="644" customFormat="1" ht="21" customHeight="1" thickBot="1">
      <c r="A139" s="787"/>
      <c r="B139" s="786" t="s">
        <v>1649</v>
      </c>
      <c r="C139" s="762">
        <f t="shared" ref="C139:L139" si="28">C135-C131</f>
        <v>0</v>
      </c>
      <c r="D139" s="761">
        <f t="shared" si="28"/>
        <v>0</v>
      </c>
      <c r="E139" s="760">
        <f t="shared" si="28"/>
        <v>0</v>
      </c>
      <c r="F139" s="759">
        <f t="shared" si="28"/>
        <v>0</v>
      </c>
      <c r="G139" s="761">
        <f t="shared" si="28"/>
        <v>0</v>
      </c>
      <c r="H139" s="760">
        <f t="shared" si="28"/>
        <v>237174</v>
      </c>
      <c r="I139" s="759">
        <f t="shared" si="28"/>
        <v>-237174</v>
      </c>
      <c r="J139" s="761">
        <f t="shared" si="28"/>
        <v>-8313000</v>
      </c>
      <c r="K139" s="760">
        <f t="shared" si="28"/>
        <v>0</v>
      </c>
      <c r="L139" s="759">
        <f t="shared" si="28"/>
        <v>8313000</v>
      </c>
      <c r="M139" s="785" t="s">
        <v>1869</v>
      </c>
    </row>
    <row r="140" spans="1:13" s="644" customFormat="1" ht="21" customHeight="1">
      <c r="A140" s="796" t="s">
        <v>1950</v>
      </c>
      <c r="B140" s="795" t="s">
        <v>1653</v>
      </c>
      <c r="C140" s="743">
        <v>176110000</v>
      </c>
      <c r="D140" s="741">
        <v>140330000</v>
      </c>
      <c r="E140" s="740">
        <v>140224073</v>
      </c>
      <c r="F140" s="739">
        <v>105927</v>
      </c>
      <c r="G140" s="741">
        <v>14260000</v>
      </c>
      <c r="H140" s="740">
        <v>3004557</v>
      </c>
      <c r="I140" s="739">
        <v>11255443</v>
      </c>
      <c r="J140" s="741">
        <v>10725000</v>
      </c>
      <c r="K140" s="740">
        <v>8750000</v>
      </c>
      <c r="L140" s="739">
        <v>2045000</v>
      </c>
      <c r="M140" s="794" t="s">
        <v>1713</v>
      </c>
    </row>
    <row r="141" spans="1:13" s="644" customFormat="1" ht="21" customHeight="1">
      <c r="A141" s="789" t="s">
        <v>1949</v>
      </c>
      <c r="B141" s="664" t="s">
        <v>430</v>
      </c>
      <c r="C141" s="631">
        <v>171383000</v>
      </c>
      <c r="D141" s="629">
        <v>139330000</v>
      </c>
      <c r="E141" s="614">
        <v>139330000</v>
      </c>
      <c r="F141" s="627">
        <v>0</v>
      </c>
      <c r="G141" s="629">
        <v>13460000</v>
      </c>
      <c r="H141" s="628">
        <v>2750557</v>
      </c>
      <c r="I141" s="627">
        <v>10709443</v>
      </c>
      <c r="J141" s="615">
        <v>10000000</v>
      </c>
      <c r="K141" s="614">
        <v>8000000</v>
      </c>
      <c r="L141" s="613">
        <v>593000</v>
      </c>
      <c r="M141" s="606" t="s">
        <v>1948</v>
      </c>
    </row>
    <row r="142" spans="1:13" s="644" customFormat="1" ht="21" customHeight="1">
      <c r="A142" s="789" t="s">
        <v>1947</v>
      </c>
      <c r="B142" s="664" t="s">
        <v>432</v>
      </c>
      <c r="C142" s="616">
        <v>4227000</v>
      </c>
      <c r="D142" s="615">
        <v>900000</v>
      </c>
      <c r="E142" s="614">
        <v>819580</v>
      </c>
      <c r="F142" s="613">
        <v>80420</v>
      </c>
      <c r="G142" s="615">
        <v>800000</v>
      </c>
      <c r="H142" s="614">
        <v>254000</v>
      </c>
      <c r="I142" s="613">
        <v>546000</v>
      </c>
      <c r="J142" s="615">
        <v>700000</v>
      </c>
      <c r="K142" s="614">
        <v>700000</v>
      </c>
      <c r="L142" s="613">
        <v>1127000</v>
      </c>
      <c r="M142" s="788" t="s">
        <v>1861</v>
      </c>
    </row>
    <row r="143" spans="1:13" s="644" customFormat="1" ht="21" customHeight="1">
      <c r="A143" s="789" t="s">
        <v>1946</v>
      </c>
      <c r="B143" s="793" t="s">
        <v>434</v>
      </c>
      <c r="C143" s="616">
        <v>500000</v>
      </c>
      <c r="D143" s="791">
        <v>100000</v>
      </c>
      <c r="E143" s="614">
        <v>74493</v>
      </c>
      <c r="F143" s="798">
        <v>25507</v>
      </c>
      <c r="G143" s="615">
        <v>0</v>
      </c>
      <c r="H143" s="792">
        <v>0</v>
      </c>
      <c r="I143" s="798">
        <v>0</v>
      </c>
      <c r="J143" s="615">
        <v>25000</v>
      </c>
      <c r="K143" s="614">
        <v>50000</v>
      </c>
      <c r="L143" s="613">
        <v>325000</v>
      </c>
      <c r="M143" s="788"/>
    </row>
    <row r="144" spans="1:13" s="644" customFormat="1" ht="21" customHeight="1">
      <c r="A144" s="789" t="s">
        <v>1945</v>
      </c>
      <c r="B144" s="624" t="s">
        <v>1651</v>
      </c>
      <c r="C144" s="623">
        <f>D144+G144+J144+K144+L144</f>
        <v>176110000</v>
      </c>
      <c r="D144" s="621">
        <f t="shared" ref="D144:L144" si="29">D145+D146+D147</f>
        <v>140330000</v>
      </c>
      <c r="E144" s="620">
        <f t="shared" si="29"/>
        <v>140224073</v>
      </c>
      <c r="F144" s="619">
        <f t="shared" si="29"/>
        <v>105927</v>
      </c>
      <c r="G144" s="621">
        <f t="shared" si="29"/>
        <v>14260000</v>
      </c>
      <c r="H144" s="620">
        <f t="shared" si="29"/>
        <v>13958938</v>
      </c>
      <c r="I144" s="619">
        <f t="shared" si="29"/>
        <v>301062</v>
      </c>
      <c r="J144" s="621">
        <f t="shared" si="29"/>
        <v>4725000</v>
      </c>
      <c r="K144" s="620">
        <f t="shared" si="29"/>
        <v>8750000</v>
      </c>
      <c r="L144" s="619">
        <f t="shared" si="29"/>
        <v>8045000</v>
      </c>
      <c r="M144" s="788"/>
    </row>
    <row r="145" spans="1:13" s="644" customFormat="1" ht="21" customHeight="1">
      <c r="A145" s="789"/>
      <c r="B145" s="664" t="s">
        <v>430</v>
      </c>
      <c r="C145" s="616">
        <f>D145+G145+J145+K145+L145</f>
        <v>171543000</v>
      </c>
      <c r="D145" s="615">
        <v>139330000</v>
      </c>
      <c r="E145" s="614">
        <v>139330000</v>
      </c>
      <c r="F145" s="613">
        <v>0</v>
      </c>
      <c r="G145" s="615">
        <v>13620000</v>
      </c>
      <c r="H145" s="614">
        <v>13394558</v>
      </c>
      <c r="I145" s="613">
        <f>G145-H145</f>
        <v>225442</v>
      </c>
      <c r="J145" s="615">
        <v>4000000</v>
      </c>
      <c r="K145" s="614">
        <v>8000000</v>
      </c>
      <c r="L145" s="613">
        <f>593000+6000000</f>
        <v>6593000</v>
      </c>
      <c r="M145" s="606"/>
    </row>
    <row r="146" spans="1:13" s="644" customFormat="1" ht="21" customHeight="1">
      <c r="A146" s="790" t="s">
        <v>1650</v>
      </c>
      <c r="B146" s="664" t="s">
        <v>432</v>
      </c>
      <c r="C146" s="616">
        <f>D146+G146+J146+K146+L146</f>
        <v>4067000</v>
      </c>
      <c r="D146" s="615">
        <v>900000</v>
      </c>
      <c r="E146" s="614">
        <v>819580</v>
      </c>
      <c r="F146" s="613">
        <v>80420</v>
      </c>
      <c r="G146" s="615">
        <v>640000</v>
      </c>
      <c r="H146" s="614">
        <v>564380</v>
      </c>
      <c r="I146" s="613">
        <f>G146-H146</f>
        <v>75620</v>
      </c>
      <c r="J146" s="615">
        <v>700000</v>
      </c>
      <c r="K146" s="614">
        <v>700000</v>
      </c>
      <c r="L146" s="613">
        <v>1127000</v>
      </c>
      <c r="M146" s="606"/>
    </row>
    <row r="147" spans="1:13" s="644" customFormat="1" ht="21" customHeight="1">
      <c r="A147" s="789"/>
      <c r="B147" s="797" t="s">
        <v>434</v>
      </c>
      <c r="C147" s="616">
        <f>D147+G147+J147+K147+L147</f>
        <v>500000</v>
      </c>
      <c r="D147" s="615">
        <v>100000</v>
      </c>
      <c r="E147" s="792">
        <v>74493</v>
      </c>
      <c r="F147" s="613">
        <v>25507</v>
      </c>
      <c r="G147" s="791">
        <v>0</v>
      </c>
      <c r="H147" s="614">
        <v>0</v>
      </c>
      <c r="I147" s="613">
        <f>G147-H147</f>
        <v>0</v>
      </c>
      <c r="J147" s="615">
        <v>25000</v>
      </c>
      <c r="K147" s="614">
        <v>50000</v>
      </c>
      <c r="L147" s="613">
        <v>325000</v>
      </c>
      <c r="M147" s="788"/>
    </row>
    <row r="148" spans="1:13" s="644" customFormat="1" ht="21" customHeight="1" thickBot="1">
      <c r="A148" s="787"/>
      <c r="B148" s="786" t="s">
        <v>1649</v>
      </c>
      <c r="C148" s="762">
        <f t="shared" ref="C148:L148" si="30">C144-C140</f>
        <v>0</v>
      </c>
      <c r="D148" s="761">
        <f t="shared" si="30"/>
        <v>0</v>
      </c>
      <c r="E148" s="760">
        <f t="shared" si="30"/>
        <v>0</v>
      </c>
      <c r="F148" s="759">
        <f t="shared" si="30"/>
        <v>0</v>
      </c>
      <c r="G148" s="761">
        <f t="shared" si="30"/>
        <v>0</v>
      </c>
      <c r="H148" s="760">
        <f t="shared" si="30"/>
        <v>10954381</v>
      </c>
      <c r="I148" s="759">
        <f t="shared" si="30"/>
        <v>-10954381</v>
      </c>
      <c r="J148" s="761">
        <f t="shared" si="30"/>
        <v>-6000000</v>
      </c>
      <c r="K148" s="760">
        <f t="shared" si="30"/>
        <v>0</v>
      </c>
      <c r="L148" s="759">
        <f t="shared" si="30"/>
        <v>6000000</v>
      </c>
      <c r="M148" s="785" t="s">
        <v>1869</v>
      </c>
    </row>
    <row r="149" spans="1:13" s="644" customFormat="1" ht="21" customHeight="1">
      <c r="A149" s="796" t="s">
        <v>1944</v>
      </c>
      <c r="B149" s="795" t="s">
        <v>1653</v>
      </c>
      <c r="C149" s="743">
        <v>74639661</v>
      </c>
      <c r="D149" s="741">
        <v>46200000</v>
      </c>
      <c r="E149" s="740">
        <v>45923188</v>
      </c>
      <c r="F149" s="739">
        <v>276812</v>
      </c>
      <c r="G149" s="741">
        <v>5320000</v>
      </c>
      <c r="H149" s="740">
        <v>2762175</v>
      </c>
      <c r="I149" s="739">
        <v>2557825</v>
      </c>
      <c r="J149" s="741">
        <v>10800000</v>
      </c>
      <c r="K149" s="740">
        <v>8800000</v>
      </c>
      <c r="L149" s="739">
        <v>3519661</v>
      </c>
      <c r="M149" s="794" t="s">
        <v>1713</v>
      </c>
    </row>
    <row r="150" spans="1:13" s="644" customFormat="1" ht="21" customHeight="1">
      <c r="A150" s="789" t="s">
        <v>1943</v>
      </c>
      <c r="B150" s="664" t="s">
        <v>430</v>
      </c>
      <c r="C150" s="631">
        <v>68405756</v>
      </c>
      <c r="D150" s="629">
        <v>44735875</v>
      </c>
      <c r="E150" s="614">
        <v>44735875</v>
      </c>
      <c r="F150" s="627">
        <v>0</v>
      </c>
      <c r="G150" s="629">
        <v>4620000</v>
      </c>
      <c r="H150" s="628">
        <v>2454415</v>
      </c>
      <c r="I150" s="627">
        <v>2165585</v>
      </c>
      <c r="J150" s="615">
        <v>10000000</v>
      </c>
      <c r="K150" s="614">
        <v>8000000</v>
      </c>
      <c r="L150" s="613">
        <v>1049881</v>
      </c>
      <c r="M150" s="788" t="s">
        <v>1861</v>
      </c>
    </row>
    <row r="151" spans="1:13" s="644" customFormat="1" ht="21" customHeight="1">
      <c r="A151" s="789" t="s">
        <v>1942</v>
      </c>
      <c r="B151" s="664" t="s">
        <v>432</v>
      </c>
      <c r="C151" s="616">
        <v>5640000</v>
      </c>
      <c r="D151" s="615">
        <v>970220</v>
      </c>
      <c r="E151" s="614">
        <v>970220</v>
      </c>
      <c r="F151" s="613">
        <v>0</v>
      </c>
      <c r="G151" s="615">
        <v>700000</v>
      </c>
      <c r="H151" s="614">
        <v>307760</v>
      </c>
      <c r="I151" s="613">
        <v>392240</v>
      </c>
      <c r="J151" s="615">
        <v>700000</v>
      </c>
      <c r="K151" s="614">
        <v>800000</v>
      </c>
      <c r="L151" s="613">
        <v>2469780</v>
      </c>
      <c r="M151" s="788"/>
    </row>
    <row r="152" spans="1:13" s="644" customFormat="1" ht="21" customHeight="1">
      <c r="A152" s="789" t="s">
        <v>1941</v>
      </c>
      <c r="B152" s="793" t="s">
        <v>434</v>
      </c>
      <c r="C152" s="799">
        <v>593905</v>
      </c>
      <c r="D152" s="791">
        <v>493905</v>
      </c>
      <c r="E152" s="614">
        <v>217093</v>
      </c>
      <c r="F152" s="798">
        <v>276812</v>
      </c>
      <c r="G152" s="791">
        <v>0</v>
      </c>
      <c r="H152" s="792">
        <v>0</v>
      </c>
      <c r="I152" s="798">
        <v>0</v>
      </c>
      <c r="J152" s="615">
        <v>100000</v>
      </c>
      <c r="K152" s="614">
        <v>0</v>
      </c>
      <c r="L152" s="613">
        <v>0</v>
      </c>
      <c r="M152" s="788"/>
    </row>
    <row r="153" spans="1:13" s="644" customFormat="1" ht="21" customHeight="1">
      <c r="A153" s="789" t="s">
        <v>1801</v>
      </c>
      <c r="B153" s="624" t="s">
        <v>1651</v>
      </c>
      <c r="C153" s="623">
        <f>D153+G153+J153+K153+L153</f>
        <v>74639661</v>
      </c>
      <c r="D153" s="621">
        <f t="shared" ref="D153:L153" si="31">D154+D155+D156</f>
        <v>46200000</v>
      </c>
      <c r="E153" s="620">
        <f t="shared" si="31"/>
        <v>45923188</v>
      </c>
      <c r="F153" s="619">
        <f t="shared" si="31"/>
        <v>276812</v>
      </c>
      <c r="G153" s="621">
        <f t="shared" si="31"/>
        <v>5320000</v>
      </c>
      <c r="H153" s="620">
        <f t="shared" si="31"/>
        <v>5191698</v>
      </c>
      <c r="I153" s="619">
        <f t="shared" si="31"/>
        <v>128302</v>
      </c>
      <c r="J153" s="621">
        <f t="shared" si="31"/>
        <v>6100000</v>
      </c>
      <c r="K153" s="620">
        <f t="shared" si="31"/>
        <v>8800000</v>
      </c>
      <c r="L153" s="619">
        <f t="shared" si="31"/>
        <v>8219661</v>
      </c>
      <c r="M153" s="788"/>
    </row>
    <row r="154" spans="1:13" s="644" customFormat="1" ht="21" customHeight="1">
      <c r="A154" s="789"/>
      <c r="B154" s="664" t="s">
        <v>430</v>
      </c>
      <c r="C154" s="616">
        <f>D154+G154+J154+K154+L154</f>
        <v>68405756</v>
      </c>
      <c r="D154" s="615">
        <v>44735875</v>
      </c>
      <c r="E154" s="614">
        <v>44735875</v>
      </c>
      <c r="F154" s="613">
        <v>0</v>
      </c>
      <c r="G154" s="615">
        <v>4620000</v>
      </c>
      <c r="H154" s="614">
        <v>4491698</v>
      </c>
      <c r="I154" s="613">
        <f>G154-H154</f>
        <v>128302</v>
      </c>
      <c r="J154" s="615">
        <v>5300000</v>
      </c>
      <c r="K154" s="614">
        <v>8000000</v>
      </c>
      <c r="L154" s="613">
        <f>1049881+4700000</f>
        <v>5749881</v>
      </c>
      <c r="M154" s="606"/>
    </row>
    <row r="155" spans="1:13" s="644" customFormat="1" ht="21" customHeight="1">
      <c r="A155" s="790" t="s">
        <v>1650</v>
      </c>
      <c r="B155" s="664" t="s">
        <v>432</v>
      </c>
      <c r="C155" s="616">
        <f>D155+G155+J155+K155+L155</f>
        <v>5640000</v>
      </c>
      <c r="D155" s="615">
        <v>970220</v>
      </c>
      <c r="E155" s="614">
        <v>970220</v>
      </c>
      <c r="F155" s="613">
        <v>0</v>
      </c>
      <c r="G155" s="615">
        <v>700000</v>
      </c>
      <c r="H155" s="614">
        <v>700000</v>
      </c>
      <c r="I155" s="613">
        <f>G155-H155</f>
        <v>0</v>
      </c>
      <c r="J155" s="615">
        <v>700000</v>
      </c>
      <c r="K155" s="614">
        <v>800000</v>
      </c>
      <c r="L155" s="613">
        <v>2469780</v>
      </c>
      <c r="M155" s="606"/>
    </row>
    <row r="156" spans="1:13" s="644" customFormat="1" ht="21" customHeight="1">
      <c r="A156" s="789"/>
      <c r="B156" s="797" t="s">
        <v>434</v>
      </c>
      <c r="C156" s="616">
        <f>D156+G156+J156+K156+L156</f>
        <v>593905</v>
      </c>
      <c r="D156" s="615">
        <v>493905</v>
      </c>
      <c r="E156" s="792">
        <v>217093</v>
      </c>
      <c r="F156" s="613">
        <v>276812</v>
      </c>
      <c r="G156" s="791">
        <v>0</v>
      </c>
      <c r="H156" s="614">
        <v>0</v>
      </c>
      <c r="I156" s="613">
        <f>G156-H156</f>
        <v>0</v>
      </c>
      <c r="J156" s="615">
        <v>100000</v>
      </c>
      <c r="K156" s="614">
        <v>0</v>
      </c>
      <c r="L156" s="613">
        <v>0</v>
      </c>
      <c r="M156" s="788"/>
    </row>
    <row r="157" spans="1:13" s="644" customFormat="1" ht="21" customHeight="1" thickBot="1">
      <c r="A157" s="787"/>
      <c r="B157" s="786" t="s">
        <v>1649</v>
      </c>
      <c r="C157" s="762">
        <f t="shared" ref="C157:L157" si="32">C153-C149</f>
        <v>0</v>
      </c>
      <c r="D157" s="761">
        <f t="shared" si="32"/>
        <v>0</v>
      </c>
      <c r="E157" s="760">
        <f t="shared" si="32"/>
        <v>0</v>
      </c>
      <c r="F157" s="759">
        <f t="shared" si="32"/>
        <v>0</v>
      </c>
      <c r="G157" s="761">
        <f t="shared" si="32"/>
        <v>0</v>
      </c>
      <c r="H157" s="760">
        <f t="shared" si="32"/>
        <v>2429523</v>
      </c>
      <c r="I157" s="759">
        <f t="shared" si="32"/>
        <v>-2429523</v>
      </c>
      <c r="J157" s="761">
        <f t="shared" si="32"/>
        <v>-4700000</v>
      </c>
      <c r="K157" s="760">
        <f t="shared" si="32"/>
        <v>0</v>
      </c>
      <c r="L157" s="759">
        <f t="shared" si="32"/>
        <v>4700000</v>
      </c>
      <c r="M157" s="785" t="s">
        <v>1869</v>
      </c>
    </row>
    <row r="158" spans="1:13" s="644" customFormat="1" ht="21" customHeight="1">
      <c r="A158" s="796" t="s">
        <v>1940</v>
      </c>
      <c r="B158" s="795" t="s">
        <v>1653</v>
      </c>
      <c r="C158" s="743">
        <v>61647000</v>
      </c>
      <c r="D158" s="741">
        <v>39898000</v>
      </c>
      <c r="E158" s="740">
        <v>39595659</v>
      </c>
      <c r="F158" s="739">
        <v>302341</v>
      </c>
      <c r="G158" s="741">
        <v>6456620</v>
      </c>
      <c r="H158" s="740">
        <v>3048374</v>
      </c>
      <c r="I158" s="739">
        <v>3408246</v>
      </c>
      <c r="J158" s="741">
        <v>9364000</v>
      </c>
      <c r="K158" s="740">
        <v>0</v>
      </c>
      <c r="L158" s="739">
        <v>5928380</v>
      </c>
      <c r="M158" s="794" t="s">
        <v>1713</v>
      </c>
    </row>
    <row r="159" spans="1:13" s="644" customFormat="1" ht="21" customHeight="1">
      <c r="A159" s="789" t="s">
        <v>1939</v>
      </c>
      <c r="B159" s="664" t="s">
        <v>430</v>
      </c>
      <c r="C159" s="631">
        <v>57926000</v>
      </c>
      <c r="D159" s="629">
        <v>37562000</v>
      </c>
      <c r="E159" s="614">
        <v>37259927</v>
      </c>
      <c r="F159" s="627">
        <v>302073</v>
      </c>
      <c r="G159" s="629">
        <v>5388620</v>
      </c>
      <c r="H159" s="628">
        <v>2463174</v>
      </c>
      <c r="I159" s="627">
        <v>2925446</v>
      </c>
      <c r="J159" s="615">
        <v>9047000</v>
      </c>
      <c r="K159" s="614">
        <v>0</v>
      </c>
      <c r="L159" s="613">
        <v>5928380</v>
      </c>
      <c r="M159" s="788" t="s">
        <v>1861</v>
      </c>
    </row>
    <row r="160" spans="1:13" s="644" customFormat="1" ht="21" customHeight="1">
      <c r="A160" s="789" t="s">
        <v>1938</v>
      </c>
      <c r="B160" s="664" t="s">
        <v>432</v>
      </c>
      <c r="C160" s="616">
        <v>3675000</v>
      </c>
      <c r="D160" s="615">
        <v>2300000</v>
      </c>
      <c r="E160" s="614">
        <v>2300000</v>
      </c>
      <c r="F160" s="613">
        <v>0</v>
      </c>
      <c r="G160" s="615">
        <v>1058000</v>
      </c>
      <c r="H160" s="614">
        <v>585200</v>
      </c>
      <c r="I160" s="613">
        <v>472800</v>
      </c>
      <c r="J160" s="615">
        <v>317000</v>
      </c>
      <c r="K160" s="614">
        <v>0</v>
      </c>
      <c r="L160" s="613">
        <v>0</v>
      </c>
      <c r="M160" s="788"/>
    </row>
    <row r="161" spans="1:13" s="644" customFormat="1" ht="21" customHeight="1">
      <c r="A161" s="789" t="s">
        <v>1937</v>
      </c>
      <c r="B161" s="793" t="s">
        <v>434</v>
      </c>
      <c r="C161" s="616">
        <v>46000</v>
      </c>
      <c r="D161" s="791">
        <v>36000</v>
      </c>
      <c r="E161" s="614">
        <v>35732</v>
      </c>
      <c r="F161" s="798">
        <v>268</v>
      </c>
      <c r="G161" s="615">
        <v>10000</v>
      </c>
      <c r="H161" s="792">
        <v>0</v>
      </c>
      <c r="I161" s="798">
        <v>10000</v>
      </c>
      <c r="J161" s="615">
        <v>0</v>
      </c>
      <c r="K161" s="614">
        <v>0</v>
      </c>
      <c r="L161" s="613">
        <v>0</v>
      </c>
      <c r="M161" s="788"/>
    </row>
    <row r="162" spans="1:13" s="644" customFormat="1" ht="21" customHeight="1">
      <c r="A162" s="789" t="s">
        <v>1936</v>
      </c>
      <c r="B162" s="624" t="s">
        <v>1651</v>
      </c>
      <c r="C162" s="623">
        <f>D162+G162+J162+K162+L162</f>
        <v>61647000</v>
      </c>
      <c r="D162" s="621">
        <f t="shared" ref="D162:L162" si="33">D163+D164+D165</f>
        <v>39898000</v>
      </c>
      <c r="E162" s="620">
        <f t="shared" si="33"/>
        <v>39595659</v>
      </c>
      <c r="F162" s="619">
        <f t="shared" si="33"/>
        <v>302341</v>
      </c>
      <c r="G162" s="621">
        <f t="shared" si="33"/>
        <v>6456620</v>
      </c>
      <c r="H162" s="620">
        <f t="shared" si="33"/>
        <v>5089074</v>
      </c>
      <c r="I162" s="619">
        <f t="shared" si="33"/>
        <v>1367546</v>
      </c>
      <c r="J162" s="621">
        <f t="shared" si="33"/>
        <v>13484000</v>
      </c>
      <c r="K162" s="620">
        <f t="shared" si="33"/>
        <v>0</v>
      </c>
      <c r="L162" s="619">
        <f t="shared" si="33"/>
        <v>1808380</v>
      </c>
      <c r="M162" s="788"/>
    </row>
    <row r="163" spans="1:13" s="644" customFormat="1" ht="21" customHeight="1">
      <c r="A163" s="789"/>
      <c r="B163" s="664" t="s">
        <v>430</v>
      </c>
      <c r="C163" s="616">
        <f>D163+G163+J163+K163+L163</f>
        <v>57807600</v>
      </c>
      <c r="D163" s="615">
        <v>37562000</v>
      </c>
      <c r="E163" s="614">
        <v>37259927</v>
      </c>
      <c r="F163" s="613">
        <v>302073</v>
      </c>
      <c r="G163" s="615">
        <v>5388620</v>
      </c>
      <c r="H163" s="614">
        <v>4503256</v>
      </c>
      <c r="I163" s="613">
        <f>G163-H163</f>
        <v>885364</v>
      </c>
      <c r="J163" s="615">
        <f>9047000+4001600</f>
        <v>13048600</v>
      </c>
      <c r="K163" s="614">
        <v>0</v>
      </c>
      <c r="L163" s="613">
        <f>5928380-4120000</f>
        <v>1808380</v>
      </c>
      <c r="M163" s="606"/>
    </row>
    <row r="164" spans="1:13" s="644" customFormat="1" ht="21" customHeight="1">
      <c r="A164" s="790" t="s">
        <v>1650</v>
      </c>
      <c r="B164" s="664" t="s">
        <v>432</v>
      </c>
      <c r="C164" s="616">
        <f>D164+G164+J164+K164+L164</f>
        <v>3793400</v>
      </c>
      <c r="D164" s="615">
        <v>2300000</v>
      </c>
      <c r="E164" s="614">
        <v>2300000</v>
      </c>
      <c r="F164" s="613">
        <v>0</v>
      </c>
      <c r="G164" s="615">
        <v>1058000</v>
      </c>
      <c r="H164" s="614">
        <v>585200</v>
      </c>
      <c r="I164" s="613">
        <f>G164-H164</f>
        <v>472800</v>
      </c>
      <c r="J164" s="615">
        <f>317000+118400</f>
        <v>435400</v>
      </c>
      <c r="K164" s="614">
        <v>0</v>
      </c>
      <c r="L164" s="613">
        <v>0</v>
      </c>
      <c r="M164" s="606"/>
    </row>
    <row r="165" spans="1:13" s="644" customFormat="1" ht="21" customHeight="1">
      <c r="A165" s="789"/>
      <c r="B165" s="797" t="s">
        <v>434</v>
      </c>
      <c r="C165" s="616">
        <f>D165+G165+J165+K165+L165</f>
        <v>46000</v>
      </c>
      <c r="D165" s="615">
        <v>36000</v>
      </c>
      <c r="E165" s="792">
        <v>35732</v>
      </c>
      <c r="F165" s="613">
        <v>268</v>
      </c>
      <c r="G165" s="791">
        <v>10000</v>
      </c>
      <c r="H165" s="614">
        <v>618</v>
      </c>
      <c r="I165" s="613">
        <f>G165-H165</f>
        <v>9382</v>
      </c>
      <c r="J165" s="615">
        <v>0</v>
      </c>
      <c r="K165" s="614">
        <v>0</v>
      </c>
      <c r="L165" s="613">
        <v>0</v>
      </c>
      <c r="M165" s="788"/>
    </row>
    <row r="166" spans="1:13" s="644" customFormat="1" ht="21" customHeight="1" thickBot="1">
      <c r="A166" s="787"/>
      <c r="B166" s="786" t="s">
        <v>1649</v>
      </c>
      <c r="C166" s="762">
        <f t="shared" ref="C166:L166" si="34">C162-C158</f>
        <v>0</v>
      </c>
      <c r="D166" s="761">
        <f t="shared" si="34"/>
        <v>0</v>
      </c>
      <c r="E166" s="760">
        <f t="shared" si="34"/>
        <v>0</v>
      </c>
      <c r="F166" s="759">
        <f t="shared" si="34"/>
        <v>0</v>
      </c>
      <c r="G166" s="761">
        <f t="shared" si="34"/>
        <v>0</v>
      </c>
      <c r="H166" s="760">
        <f t="shared" si="34"/>
        <v>2040700</v>
      </c>
      <c r="I166" s="759">
        <f t="shared" si="34"/>
        <v>-2040700</v>
      </c>
      <c r="J166" s="761">
        <f t="shared" si="34"/>
        <v>4120000</v>
      </c>
      <c r="K166" s="760">
        <f t="shared" si="34"/>
        <v>0</v>
      </c>
      <c r="L166" s="759">
        <f t="shared" si="34"/>
        <v>-4120000</v>
      </c>
      <c r="M166" s="785" t="s">
        <v>1869</v>
      </c>
    </row>
    <row r="167" spans="1:13" s="644" customFormat="1" ht="21" customHeight="1">
      <c r="A167" s="796" t="s">
        <v>1935</v>
      </c>
      <c r="B167" s="795" t="s">
        <v>1653</v>
      </c>
      <c r="C167" s="743">
        <v>31873000</v>
      </c>
      <c r="D167" s="741">
        <v>870000</v>
      </c>
      <c r="E167" s="740">
        <v>862344</v>
      </c>
      <c r="F167" s="739">
        <v>7656</v>
      </c>
      <c r="G167" s="741">
        <v>0</v>
      </c>
      <c r="H167" s="740">
        <v>0</v>
      </c>
      <c r="I167" s="739">
        <v>0</v>
      </c>
      <c r="J167" s="741">
        <v>820000</v>
      </c>
      <c r="K167" s="740">
        <v>5000000</v>
      </c>
      <c r="L167" s="739">
        <v>25183000</v>
      </c>
      <c r="M167" s="794" t="s">
        <v>1713</v>
      </c>
    </row>
    <row r="168" spans="1:13" s="644" customFormat="1" ht="21" customHeight="1">
      <c r="A168" s="789" t="s">
        <v>1934</v>
      </c>
      <c r="B168" s="664" t="s">
        <v>430</v>
      </c>
      <c r="C168" s="631">
        <v>31045000</v>
      </c>
      <c r="D168" s="629">
        <v>866000</v>
      </c>
      <c r="E168" s="614">
        <v>859380</v>
      </c>
      <c r="F168" s="627">
        <v>6620</v>
      </c>
      <c r="G168" s="629">
        <v>0</v>
      </c>
      <c r="H168" s="628">
        <v>0</v>
      </c>
      <c r="I168" s="627">
        <v>0</v>
      </c>
      <c r="J168" s="615">
        <v>800000</v>
      </c>
      <c r="K168" s="614">
        <v>5000000</v>
      </c>
      <c r="L168" s="613">
        <v>24379000</v>
      </c>
      <c r="M168" s="788" t="s">
        <v>1861</v>
      </c>
    </row>
    <row r="169" spans="1:13" s="644" customFormat="1" ht="21" customHeight="1">
      <c r="A169" s="789" t="s">
        <v>1933</v>
      </c>
      <c r="B169" s="664" t="s">
        <v>432</v>
      </c>
      <c r="C169" s="616">
        <v>804000</v>
      </c>
      <c r="D169" s="615">
        <v>0</v>
      </c>
      <c r="E169" s="614">
        <v>0</v>
      </c>
      <c r="F169" s="613">
        <v>0</v>
      </c>
      <c r="G169" s="615">
        <v>0</v>
      </c>
      <c r="H169" s="614">
        <v>0</v>
      </c>
      <c r="I169" s="613">
        <v>0</v>
      </c>
      <c r="J169" s="615">
        <v>0</v>
      </c>
      <c r="K169" s="614">
        <v>0</v>
      </c>
      <c r="L169" s="613">
        <v>804000</v>
      </c>
      <c r="M169" s="788"/>
    </row>
    <row r="170" spans="1:13" s="644" customFormat="1" ht="21" customHeight="1">
      <c r="A170" s="789" t="s">
        <v>1932</v>
      </c>
      <c r="B170" s="793" t="s">
        <v>434</v>
      </c>
      <c r="C170" s="616">
        <v>24000</v>
      </c>
      <c r="D170" s="791">
        <v>4000</v>
      </c>
      <c r="E170" s="614">
        <v>2964</v>
      </c>
      <c r="F170" s="798">
        <v>1036</v>
      </c>
      <c r="G170" s="791">
        <v>0</v>
      </c>
      <c r="H170" s="792">
        <v>0</v>
      </c>
      <c r="I170" s="798">
        <v>0</v>
      </c>
      <c r="J170" s="615">
        <v>20000</v>
      </c>
      <c r="K170" s="614">
        <v>0</v>
      </c>
      <c r="L170" s="613">
        <v>0</v>
      </c>
      <c r="M170" s="788"/>
    </row>
    <row r="171" spans="1:13" s="644" customFormat="1" ht="21" customHeight="1">
      <c r="A171" s="789" t="s">
        <v>1931</v>
      </c>
      <c r="B171" s="624" t="s">
        <v>1651</v>
      </c>
      <c r="C171" s="623">
        <f>D171+G171+J171+K171+L171</f>
        <v>31873000</v>
      </c>
      <c r="D171" s="621">
        <f t="shared" ref="D171:L171" si="35">D172+D173+D174</f>
        <v>870000</v>
      </c>
      <c r="E171" s="620">
        <f t="shared" si="35"/>
        <v>862344</v>
      </c>
      <c r="F171" s="619">
        <f t="shared" si="35"/>
        <v>7656</v>
      </c>
      <c r="G171" s="621">
        <f t="shared" si="35"/>
        <v>0</v>
      </c>
      <c r="H171" s="620">
        <f t="shared" si="35"/>
        <v>0</v>
      </c>
      <c r="I171" s="619">
        <f t="shared" si="35"/>
        <v>0</v>
      </c>
      <c r="J171" s="621">
        <f t="shared" si="35"/>
        <v>720000</v>
      </c>
      <c r="K171" s="620">
        <f t="shared" si="35"/>
        <v>5000000</v>
      </c>
      <c r="L171" s="619">
        <f t="shared" si="35"/>
        <v>25283000</v>
      </c>
      <c r="M171" s="788"/>
    </row>
    <row r="172" spans="1:13" s="644" customFormat="1" ht="21" customHeight="1">
      <c r="A172" s="789"/>
      <c r="B172" s="664" t="s">
        <v>430</v>
      </c>
      <c r="C172" s="616">
        <f>D172+G172+J172+K172+L172</f>
        <v>31045000</v>
      </c>
      <c r="D172" s="615">
        <v>866000</v>
      </c>
      <c r="E172" s="614">
        <v>859380</v>
      </c>
      <c r="F172" s="613">
        <v>6620</v>
      </c>
      <c r="G172" s="615">
        <v>0</v>
      </c>
      <c r="H172" s="614">
        <v>0</v>
      </c>
      <c r="I172" s="613">
        <f>G172-H172</f>
        <v>0</v>
      </c>
      <c r="J172" s="615">
        <v>700000</v>
      </c>
      <c r="K172" s="614">
        <v>5000000</v>
      </c>
      <c r="L172" s="613">
        <f>24379000+100000</f>
        <v>24479000</v>
      </c>
      <c r="M172" s="606"/>
    </row>
    <row r="173" spans="1:13" s="644" customFormat="1" ht="21" customHeight="1">
      <c r="A173" s="790" t="s">
        <v>1650</v>
      </c>
      <c r="B173" s="664" t="s">
        <v>432</v>
      </c>
      <c r="C173" s="616">
        <f>D173+G173+J173+K173+L173</f>
        <v>804000</v>
      </c>
      <c r="D173" s="615">
        <v>0</v>
      </c>
      <c r="E173" s="614">
        <v>0</v>
      </c>
      <c r="F173" s="613">
        <v>0</v>
      </c>
      <c r="G173" s="615">
        <v>0</v>
      </c>
      <c r="H173" s="614">
        <v>0</v>
      </c>
      <c r="I173" s="613">
        <f>G173-H173</f>
        <v>0</v>
      </c>
      <c r="J173" s="615">
        <v>0</v>
      </c>
      <c r="K173" s="614">
        <v>0</v>
      </c>
      <c r="L173" s="613">
        <v>804000</v>
      </c>
      <c r="M173" s="606"/>
    </row>
    <row r="174" spans="1:13" s="644" customFormat="1" ht="21" customHeight="1">
      <c r="A174" s="789"/>
      <c r="B174" s="797" t="s">
        <v>434</v>
      </c>
      <c r="C174" s="616">
        <f>D174+G174+J174+K174+L174</f>
        <v>24000</v>
      </c>
      <c r="D174" s="615">
        <v>4000</v>
      </c>
      <c r="E174" s="792">
        <v>2964</v>
      </c>
      <c r="F174" s="613">
        <v>1036</v>
      </c>
      <c r="G174" s="791">
        <v>0</v>
      </c>
      <c r="H174" s="614">
        <v>0</v>
      </c>
      <c r="I174" s="613">
        <f>G174-H174</f>
        <v>0</v>
      </c>
      <c r="J174" s="615">
        <v>20000</v>
      </c>
      <c r="K174" s="614">
        <v>0</v>
      </c>
      <c r="L174" s="613">
        <v>0</v>
      </c>
      <c r="M174" s="788"/>
    </row>
    <row r="175" spans="1:13" s="644" customFormat="1" ht="21" customHeight="1" thickBot="1">
      <c r="A175" s="787"/>
      <c r="B175" s="786" t="s">
        <v>1649</v>
      </c>
      <c r="C175" s="762">
        <f t="shared" ref="C175:L175" si="36">C171-C167</f>
        <v>0</v>
      </c>
      <c r="D175" s="761">
        <f t="shared" si="36"/>
        <v>0</v>
      </c>
      <c r="E175" s="760">
        <f t="shared" si="36"/>
        <v>0</v>
      </c>
      <c r="F175" s="759">
        <f t="shared" si="36"/>
        <v>0</v>
      </c>
      <c r="G175" s="761">
        <f t="shared" si="36"/>
        <v>0</v>
      </c>
      <c r="H175" s="760">
        <f t="shared" si="36"/>
        <v>0</v>
      </c>
      <c r="I175" s="759">
        <f t="shared" si="36"/>
        <v>0</v>
      </c>
      <c r="J175" s="761">
        <f t="shared" si="36"/>
        <v>-100000</v>
      </c>
      <c r="K175" s="760">
        <f t="shared" si="36"/>
        <v>0</v>
      </c>
      <c r="L175" s="759">
        <f t="shared" si="36"/>
        <v>100000</v>
      </c>
      <c r="M175" s="785" t="s">
        <v>1869</v>
      </c>
    </row>
    <row r="176" spans="1:13" s="644" customFormat="1" ht="21" customHeight="1">
      <c r="A176" s="796" t="s">
        <v>1930</v>
      </c>
      <c r="B176" s="795" t="s">
        <v>1653</v>
      </c>
      <c r="C176" s="743">
        <v>52110000</v>
      </c>
      <c r="D176" s="741">
        <v>11315000</v>
      </c>
      <c r="E176" s="740">
        <v>10810490</v>
      </c>
      <c r="F176" s="739">
        <v>504510</v>
      </c>
      <c r="G176" s="741">
        <v>1300000</v>
      </c>
      <c r="H176" s="740">
        <v>47286</v>
      </c>
      <c r="I176" s="739">
        <v>1252714</v>
      </c>
      <c r="J176" s="741">
        <v>4920000</v>
      </c>
      <c r="K176" s="740">
        <v>4210000</v>
      </c>
      <c r="L176" s="739">
        <v>30365000</v>
      </c>
      <c r="M176" s="794" t="s">
        <v>1713</v>
      </c>
    </row>
    <row r="177" spans="1:13" s="644" customFormat="1" ht="21" customHeight="1">
      <c r="A177" s="789" t="s">
        <v>1929</v>
      </c>
      <c r="B177" s="664" t="s">
        <v>430</v>
      </c>
      <c r="C177" s="631">
        <v>50110000</v>
      </c>
      <c r="D177" s="629">
        <v>10795000</v>
      </c>
      <c r="E177" s="614">
        <v>10794596</v>
      </c>
      <c r="F177" s="627">
        <v>404</v>
      </c>
      <c r="G177" s="629">
        <v>1000000</v>
      </c>
      <c r="H177" s="628">
        <v>47286</v>
      </c>
      <c r="I177" s="627">
        <v>952714</v>
      </c>
      <c r="J177" s="615">
        <v>4000000</v>
      </c>
      <c r="K177" s="614">
        <v>4000000</v>
      </c>
      <c r="L177" s="613">
        <v>30315000</v>
      </c>
      <c r="M177" s="788" t="s">
        <v>1861</v>
      </c>
    </row>
    <row r="178" spans="1:13" s="644" customFormat="1" ht="21" customHeight="1">
      <c r="A178" s="789" t="s">
        <v>1928</v>
      </c>
      <c r="B178" s="664" t="s">
        <v>432</v>
      </c>
      <c r="C178" s="616">
        <v>1930000</v>
      </c>
      <c r="D178" s="615">
        <v>500000</v>
      </c>
      <c r="E178" s="614">
        <v>0</v>
      </c>
      <c r="F178" s="613">
        <v>500000</v>
      </c>
      <c r="G178" s="615">
        <v>300000</v>
      </c>
      <c r="H178" s="614">
        <v>0</v>
      </c>
      <c r="I178" s="613">
        <v>300000</v>
      </c>
      <c r="J178" s="615">
        <v>900000</v>
      </c>
      <c r="K178" s="614">
        <v>200000</v>
      </c>
      <c r="L178" s="613">
        <v>30000</v>
      </c>
      <c r="M178" s="788"/>
    </row>
    <row r="179" spans="1:13" s="644" customFormat="1" ht="21" customHeight="1">
      <c r="A179" s="789" t="s">
        <v>1927</v>
      </c>
      <c r="B179" s="793" t="s">
        <v>434</v>
      </c>
      <c r="C179" s="799">
        <v>70000</v>
      </c>
      <c r="D179" s="791">
        <v>20000</v>
      </c>
      <c r="E179" s="614">
        <v>15894</v>
      </c>
      <c r="F179" s="798">
        <v>4106</v>
      </c>
      <c r="G179" s="791">
        <v>0</v>
      </c>
      <c r="H179" s="792">
        <v>0</v>
      </c>
      <c r="I179" s="798">
        <v>0</v>
      </c>
      <c r="J179" s="615">
        <v>20000</v>
      </c>
      <c r="K179" s="614">
        <v>10000</v>
      </c>
      <c r="L179" s="613">
        <v>20000</v>
      </c>
      <c r="M179" s="788"/>
    </row>
    <row r="180" spans="1:13" s="644" customFormat="1" ht="21" customHeight="1">
      <c r="A180" s="789" t="s">
        <v>1926</v>
      </c>
      <c r="B180" s="624" t="s">
        <v>1651</v>
      </c>
      <c r="C180" s="623">
        <f>D180+G180+J180+K180+L180</f>
        <v>52110000</v>
      </c>
      <c r="D180" s="621">
        <f t="shared" ref="D180:L180" si="37">D181+D182+D183</f>
        <v>11315000</v>
      </c>
      <c r="E180" s="620">
        <f t="shared" si="37"/>
        <v>10810490</v>
      </c>
      <c r="F180" s="619">
        <f t="shared" si="37"/>
        <v>504510</v>
      </c>
      <c r="G180" s="621">
        <f t="shared" si="37"/>
        <v>1300000</v>
      </c>
      <c r="H180" s="620">
        <f t="shared" si="37"/>
        <v>976168</v>
      </c>
      <c r="I180" s="619">
        <f t="shared" si="37"/>
        <v>323832</v>
      </c>
      <c r="J180" s="621">
        <f t="shared" si="37"/>
        <v>4220000</v>
      </c>
      <c r="K180" s="620">
        <f t="shared" si="37"/>
        <v>4210000</v>
      </c>
      <c r="L180" s="619">
        <f t="shared" si="37"/>
        <v>31065000</v>
      </c>
      <c r="M180" s="788"/>
    </row>
    <row r="181" spans="1:13" s="644" customFormat="1" ht="21" customHeight="1">
      <c r="A181" s="789"/>
      <c r="B181" s="664" t="s">
        <v>430</v>
      </c>
      <c r="C181" s="616">
        <f>D181+G181+J181+K181+L181</f>
        <v>50110000</v>
      </c>
      <c r="D181" s="615">
        <v>10795000</v>
      </c>
      <c r="E181" s="614">
        <v>10794596</v>
      </c>
      <c r="F181" s="613">
        <v>404</v>
      </c>
      <c r="G181" s="615">
        <v>1000000</v>
      </c>
      <c r="H181" s="614">
        <v>976168</v>
      </c>
      <c r="I181" s="613">
        <f>G181-H181</f>
        <v>23832</v>
      </c>
      <c r="J181" s="615">
        <v>4000000</v>
      </c>
      <c r="K181" s="614">
        <v>4000000</v>
      </c>
      <c r="L181" s="613">
        <v>30315000</v>
      </c>
      <c r="M181" s="606"/>
    </row>
    <row r="182" spans="1:13" s="644" customFormat="1" ht="21" customHeight="1">
      <c r="A182" s="790" t="s">
        <v>1842</v>
      </c>
      <c r="B182" s="664" t="s">
        <v>432</v>
      </c>
      <c r="C182" s="616">
        <f>D182+G182+J182+K182+L182</f>
        <v>1930000</v>
      </c>
      <c r="D182" s="615">
        <v>500000</v>
      </c>
      <c r="E182" s="614">
        <v>0</v>
      </c>
      <c r="F182" s="613">
        <v>500000</v>
      </c>
      <c r="G182" s="615">
        <v>300000</v>
      </c>
      <c r="H182" s="614">
        <v>0</v>
      </c>
      <c r="I182" s="613">
        <f>G182-H182</f>
        <v>300000</v>
      </c>
      <c r="J182" s="615">
        <v>200000</v>
      </c>
      <c r="K182" s="614">
        <v>200000</v>
      </c>
      <c r="L182" s="613">
        <f>30000+700000</f>
        <v>730000</v>
      </c>
      <c r="M182" s="606"/>
    </row>
    <row r="183" spans="1:13" s="644" customFormat="1" ht="21" customHeight="1">
      <c r="A183" s="789"/>
      <c r="B183" s="797" t="s">
        <v>434</v>
      </c>
      <c r="C183" s="616">
        <f>D183+G183+J183+K183+L183</f>
        <v>70000</v>
      </c>
      <c r="D183" s="615">
        <v>20000</v>
      </c>
      <c r="E183" s="792">
        <v>15894</v>
      </c>
      <c r="F183" s="613">
        <v>4106</v>
      </c>
      <c r="G183" s="791">
        <v>0</v>
      </c>
      <c r="H183" s="614">
        <v>0</v>
      </c>
      <c r="I183" s="613">
        <f>G183-H183</f>
        <v>0</v>
      </c>
      <c r="J183" s="615">
        <v>20000</v>
      </c>
      <c r="K183" s="614">
        <v>10000</v>
      </c>
      <c r="L183" s="613">
        <v>20000</v>
      </c>
      <c r="M183" s="788"/>
    </row>
    <row r="184" spans="1:13" s="644" customFormat="1" ht="21" customHeight="1" thickBot="1">
      <c r="A184" s="787"/>
      <c r="B184" s="786" t="s">
        <v>1649</v>
      </c>
      <c r="C184" s="762">
        <f t="shared" ref="C184:L184" si="38">C180-C176</f>
        <v>0</v>
      </c>
      <c r="D184" s="761">
        <f t="shared" si="38"/>
        <v>0</v>
      </c>
      <c r="E184" s="760">
        <f t="shared" si="38"/>
        <v>0</v>
      </c>
      <c r="F184" s="759">
        <f t="shared" si="38"/>
        <v>0</v>
      </c>
      <c r="G184" s="761">
        <f t="shared" si="38"/>
        <v>0</v>
      </c>
      <c r="H184" s="760">
        <f t="shared" si="38"/>
        <v>928882</v>
      </c>
      <c r="I184" s="759">
        <f t="shared" si="38"/>
        <v>-928882</v>
      </c>
      <c r="J184" s="761">
        <f t="shared" si="38"/>
        <v>-700000</v>
      </c>
      <c r="K184" s="760">
        <f t="shared" si="38"/>
        <v>0</v>
      </c>
      <c r="L184" s="759">
        <f t="shared" si="38"/>
        <v>700000</v>
      </c>
      <c r="M184" s="785" t="s">
        <v>1869</v>
      </c>
    </row>
    <row r="185" spans="1:13" s="644" customFormat="1" ht="21" customHeight="1">
      <c r="A185" s="796" t="s">
        <v>1925</v>
      </c>
      <c r="B185" s="795" t="s">
        <v>1653</v>
      </c>
      <c r="C185" s="743">
        <v>33842000</v>
      </c>
      <c r="D185" s="741">
        <v>650000</v>
      </c>
      <c r="E185" s="740">
        <v>402080</v>
      </c>
      <c r="F185" s="739">
        <v>247920</v>
      </c>
      <c r="G185" s="741">
        <v>0</v>
      </c>
      <c r="H185" s="740">
        <v>0</v>
      </c>
      <c r="I185" s="739">
        <v>0</v>
      </c>
      <c r="J185" s="741">
        <v>500000</v>
      </c>
      <c r="K185" s="740">
        <v>0</v>
      </c>
      <c r="L185" s="739">
        <v>32692000</v>
      </c>
      <c r="M185" s="794" t="s">
        <v>1713</v>
      </c>
    </row>
    <row r="186" spans="1:13" s="644" customFormat="1" ht="21" customHeight="1">
      <c r="A186" s="789" t="s">
        <v>1924</v>
      </c>
      <c r="B186" s="664" t="s">
        <v>430</v>
      </c>
      <c r="C186" s="631">
        <v>32425000</v>
      </c>
      <c r="D186" s="629">
        <v>640000</v>
      </c>
      <c r="E186" s="628">
        <v>399910</v>
      </c>
      <c r="F186" s="627">
        <v>240090</v>
      </c>
      <c r="G186" s="629">
        <v>0</v>
      </c>
      <c r="H186" s="628">
        <v>0</v>
      </c>
      <c r="I186" s="627">
        <v>0</v>
      </c>
      <c r="J186" s="629">
        <v>500000</v>
      </c>
      <c r="K186" s="628">
        <v>0</v>
      </c>
      <c r="L186" s="627">
        <v>31285000</v>
      </c>
      <c r="M186" s="788" t="s">
        <v>1861</v>
      </c>
    </row>
    <row r="187" spans="1:13" s="644" customFormat="1" ht="21" customHeight="1">
      <c r="A187" s="789" t="s">
        <v>1923</v>
      </c>
      <c r="B187" s="664" t="s">
        <v>432</v>
      </c>
      <c r="C187" s="616">
        <v>1374000</v>
      </c>
      <c r="D187" s="615">
        <v>0</v>
      </c>
      <c r="E187" s="614">
        <v>0</v>
      </c>
      <c r="F187" s="613">
        <v>0</v>
      </c>
      <c r="G187" s="615">
        <v>0</v>
      </c>
      <c r="H187" s="614">
        <v>0</v>
      </c>
      <c r="I187" s="613">
        <v>0</v>
      </c>
      <c r="J187" s="615">
        <v>0</v>
      </c>
      <c r="K187" s="614">
        <v>0</v>
      </c>
      <c r="L187" s="613">
        <v>1374000</v>
      </c>
      <c r="M187" s="813"/>
    </row>
    <row r="188" spans="1:13" s="644" customFormat="1" ht="21" customHeight="1">
      <c r="A188" s="789" t="s">
        <v>1922</v>
      </c>
      <c r="B188" s="793" t="s">
        <v>434</v>
      </c>
      <c r="C188" s="616">
        <v>43000</v>
      </c>
      <c r="D188" s="615">
        <v>10000</v>
      </c>
      <c r="E188" s="614">
        <v>2170</v>
      </c>
      <c r="F188" s="613">
        <v>7830</v>
      </c>
      <c r="G188" s="615">
        <v>0</v>
      </c>
      <c r="H188" s="614">
        <v>0</v>
      </c>
      <c r="I188" s="613">
        <v>0</v>
      </c>
      <c r="J188" s="615">
        <v>0</v>
      </c>
      <c r="K188" s="614">
        <v>0</v>
      </c>
      <c r="L188" s="613">
        <v>33000</v>
      </c>
      <c r="M188" s="788"/>
    </row>
    <row r="189" spans="1:13" s="644" customFormat="1" ht="21" customHeight="1">
      <c r="A189" s="789" t="s">
        <v>1921</v>
      </c>
      <c r="B189" s="624" t="s">
        <v>1651</v>
      </c>
      <c r="C189" s="623">
        <v>33842000</v>
      </c>
      <c r="D189" s="621">
        <v>650000</v>
      </c>
      <c r="E189" s="620">
        <v>402080</v>
      </c>
      <c r="F189" s="619">
        <v>247920</v>
      </c>
      <c r="G189" s="621">
        <v>0</v>
      </c>
      <c r="H189" s="620">
        <v>0</v>
      </c>
      <c r="I189" s="619">
        <v>0</v>
      </c>
      <c r="J189" s="621">
        <v>350000</v>
      </c>
      <c r="K189" s="620">
        <v>0</v>
      </c>
      <c r="L189" s="619">
        <v>32842000</v>
      </c>
      <c r="M189" s="788"/>
    </row>
    <row r="190" spans="1:13" s="644" customFormat="1" ht="21" customHeight="1">
      <c r="A190" s="789"/>
      <c r="B190" s="664" t="s">
        <v>430</v>
      </c>
      <c r="C190" s="616">
        <v>32425000</v>
      </c>
      <c r="D190" s="615">
        <v>640000</v>
      </c>
      <c r="E190" s="614">
        <v>399910</v>
      </c>
      <c r="F190" s="613">
        <v>240090</v>
      </c>
      <c r="G190" s="615">
        <v>0</v>
      </c>
      <c r="H190" s="614">
        <v>0</v>
      </c>
      <c r="I190" s="613">
        <v>0</v>
      </c>
      <c r="J190" s="615">
        <v>350000</v>
      </c>
      <c r="K190" s="614">
        <v>0</v>
      </c>
      <c r="L190" s="613">
        <v>31435000</v>
      </c>
      <c r="M190" s="606"/>
    </row>
    <row r="191" spans="1:13" s="644" customFormat="1" ht="21" customHeight="1">
      <c r="A191" s="790" t="s">
        <v>1842</v>
      </c>
      <c r="B191" s="664" t="s">
        <v>432</v>
      </c>
      <c r="C191" s="616">
        <v>1374000</v>
      </c>
      <c r="D191" s="615">
        <v>0</v>
      </c>
      <c r="E191" s="614">
        <v>0</v>
      </c>
      <c r="F191" s="613">
        <v>0</v>
      </c>
      <c r="G191" s="615">
        <v>0</v>
      </c>
      <c r="H191" s="614">
        <v>0</v>
      </c>
      <c r="I191" s="613">
        <v>0</v>
      </c>
      <c r="J191" s="615">
        <v>0</v>
      </c>
      <c r="K191" s="614">
        <v>0</v>
      </c>
      <c r="L191" s="613">
        <v>1374000</v>
      </c>
      <c r="M191" s="606"/>
    </row>
    <row r="192" spans="1:13" s="644" customFormat="1" ht="21" customHeight="1">
      <c r="A192" s="789"/>
      <c r="B192" s="797" t="s">
        <v>434</v>
      </c>
      <c r="C192" s="616">
        <v>43000</v>
      </c>
      <c r="D192" s="615">
        <v>10000</v>
      </c>
      <c r="E192" s="792">
        <v>2170</v>
      </c>
      <c r="F192" s="613">
        <v>7830</v>
      </c>
      <c r="G192" s="791">
        <v>0</v>
      </c>
      <c r="H192" s="614">
        <v>0</v>
      </c>
      <c r="I192" s="613">
        <v>0</v>
      </c>
      <c r="J192" s="615">
        <v>0</v>
      </c>
      <c r="K192" s="614">
        <v>0</v>
      </c>
      <c r="L192" s="613">
        <v>33000</v>
      </c>
      <c r="M192" s="788"/>
    </row>
    <row r="193" spans="1:13" s="644" customFormat="1" ht="21" customHeight="1" thickBot="1">
      <c r="A193" s="787"/>
      <c r="B193" s="786" t="s">
        <v>1649</v>
      </c>
      <c r="C193" s="762">
        <v>0</v>
      </c>
      <c r="D193" s="761">
        <v>0</v>
      </c>
      <c r="E193" s="760">
        <v>0</v>
      </c>
      <c r="F193" s="759">
        <v>0</v>
      </c>
      <c r="G193" s="761">
        <v>0</v>
      </c>
      <c r="H193" s="760">
        <v>0</v>
      </c>
      <c r="I193" s="759">
        <v>0</v>
      </c>
      <c r="J193" s="761" t="s">
        <v>1920</v>
      </c>
      <c r="K193" s="760">
        <v>0</v>
      </c>
      <c r="L193" s="759">
        <v>150000</v>
      </c>
      <c r="M193" s="785" t="s">
        <v>1856</v>
      </c>
    </row>
    <row r="194" spans="1:13" s="644" customFormat="1" ht="21" customHeight="1">
      <c r="A194" s="796" t="s">
        <v>1919</v>
      </c>
      <c r="B194" s="795" t="s">
        <v>1653</v>
      </c>
      <c r="C194" s="743">
        <v>13489000</v>
      </c>
      <c r="D194" s="741">
        <v>4600000</v>
      </c>
      <c r="E194" s="740">
        <v>2057020</v>
      </c>
      <c r="F194" s="739">
        <v>2542980</v>
      </c>
      <c r="G194" s="741">
        <v>100000</v>
      </c>
      <c r="H194" s="740">
        <v>11180</v>
      </c>
      <c r="I194" s="739">
        <v>88820</v>
      </c>
      <c r="J194" s="741">
        <v>4295000</v>
      </c>
      <c r="K194" s="740">
        <v>2000000</v>
      </c>
      <c r="L194" s="739">
        <v>2494000</v>
      </c>
      <c r="M194" s="794" t="s">
        <v>1713</v>
      </c>
    </row>
    <row r="195" spans="1:13" s="644" customFormat="1" ht="21" customHeight="1">
      <c r="A195" s="789" t="s">
        <v>1918</v>
      </c>
      <c r="B195" s="664" t="s">
        <v>430</v>
      </c>
      <c r="C195" s="631">
        <v>13484000</v>
      </c>
      <c r="D195" s="629">
        <v>4595000</v>
      </c>
      <c r="E195" s="614">
        <v>2053720</v>
      </c>
      <c r="F195" s="627">
        <v>2541280</v>
      </c>
      <c r="G195" s="629">
        <v>100000</v>
      </c>
      <c r="H195" s="628">
        <v>11180</v>
      </c>
      <c r="I195" s="627">
        <v>88820</v>
      </c>
      <c r="J195" s="615">
        <v>4295000</v>
      </c>
      <c r="K195" s="614">
        <v>2000000</v>
      </c>
      <c r="L195" s="613">
        <v>2494000</v>
      </c>
      <c r="M195" s="788" t="s">
        <v>1861</v>
      </c>
    </row>
    <row r="196" spans="1:13" s="644" customFormat="1" ht="21" customHeight="1">
      <c r="A196" s="789" t="s">
        <v>1917</v>
      </c>
      <c r="B196" s="664" t="s">
        <v>432</v>
      </c>
      <c r="C196" s="616">
        <v>0</v>
      </c>
      <c r="D196" s="615">
        <v>0</v>
      </c>
      <c r="E196" s="614">
        <v>0</v>
      </c>
      <c r="F196" s="613">
        <v>0</v>
      </c>
      <c r="G196" s="615">
        <v>0</v>
      </c>
      <c r="H196" s="614">
        <v>0</v>
      </c>
      <c r="I196" s="613">
        <v>0</v>
      </c>
      <c r="J196" s="615">
        <v>0</v>
      </c>
      <c r="K196" s="614">
        <v>0</v>
      </c>
      <c r="L196" s="613">
        <v>0</v>
      </c>
      <c r="M196" s="788"/>
    </row>
    <row r="197" spans="1:13" s="644" customFormat="1" ht="21" customHeight="1">
      <c r="A197" s="789" t="s">
        <v>1916</v>
      </c>
      <c r="B197" s="793" t="s">
        <v>434</v>
      </c>
      <c r="C197" s="616">
        <v>5000</v>
      </c>
      <c r="D197" s="791">
        <v>5000</v>
      </c>
      <c r="E197" s="792">
        <v>3300</v>
      </c>
      <c r="F197" s="798">
        <v>1700</v>
      </c>
      <c r="G197" s="791">
        <v>0</v>
      </c>
      <c r="H197" s="792">
        <v>0</v>
      </c>
      <c r="I197" s="798">
        <v>0</v>
      </c>
      <c r="J197" s="615">
        <v>0</v>
      </c>
      <c r="K197" s="614">
        <v>0</v>
      </c>
      <c r="L197" s="613">
        <v>0</v>
      </c>
      <c r="M197" s="788"/>
    </row>
    <row r="198" spans="1:13" s="644" customFormat="1" ht="21" customHeight="1">
      <c r="A198" s="789" t="s">
        <v>1915</v>
      </c>
      <c r="B198" s="624" t="s">
        <v>1651</v>
      </c>
      <c r="C198" s="623">
        <f>D198+G198+J198+K198+L198</f>
        <v>13489000</v>
      </c>
      <c r="D198" s="621">
        <f t="shared" ref="D198:L198" si="39">D199+D200+D201</f>
        <v>4600000</v>
      </c>
      <c r="E198" s="620">
        <f t="shared" si="39"/>
        <v>2057020</v>
      </c>
      <c r="F198" s="619">
        <f t="shared" si="39"/>
        <v>2542980</v>
      </c>
      <c r="G198" s="621">
        <f t="shared" si="39"/>
        <v>100000</v>
      </c>
      <c r="H198" s="620">
        <f t="shared" si="39"/>
        <v>11180</v>
      </c>
      <c r="I198" s="619">
        <f t="shared" si="39"/>
        <v>88820</v>
      </c>
      <c r="J198" s="621">
        <f t="shared" si="39"/>
        <v>3295000</v>
      </c>
      <c r="K198" s="620">
        <f t="shared" si="39"/>
        <v>2000000</v>
      </c>
      <c r="L198" s="619">
        <f t="shared" si="39"/>
        <v>3494000</v>
      </c>
      <c r="M198" s="788"/>
    </row>
    <row r="199" spans="1:13" s="644" customFormat="1" ht="21" customHeight="1">
      <c r="A199" s="789"/>
      <c r="B199" s="664" t="s">
        <v>430</v>
      </c>
      <c r="C199" s="616">
        <f>D199+G199+J199+K199+L199</f>
        <v>13484000</v>
      </c>
      <c r="D199" s="615">
        <v>4595000</v>
      </c>
      <c r="E199" s="614">
        <v>2053720</v>
      </c>
      <c r="F199" s="613">
        <v>2541280</v>
      </c>
      <c r="G199" s="615">
        <v>100000</v>
      </c>
      <c r="H199" s="614">
        <v>11180</v>
      </c>
      <c r="I199" s="613">
        <f>G199-H199</f>
        <v>88820</v>
      </c>
      <c r="J199" s="615">
        <v>3295000</v>
      </c>
      <c r="K199" s="614">
        <v>2000000</v>
      </c>
      <c r="L199" s="613">
        <f>2494000+1000000</f>
        <v>3494000</v>
      </c>
      <c r="M199" s="606"/>
    </row>
    <row r="200" spans="1:13" s="644" customFormat="1" ht="21" customHeight="1">
      <c r="A200" s="790" t="s">
        <v>1842</v>
      </c>
      <c r="B200" s="664" t="s">
        <v>432</v>
      </c>
      <c r="C200" s="616">
        <f>D200+G200+J200+K200+L200</f>
        <v>0</v>
      </c>
      <c r="D200" s="615">
        <v>0</v>
      </c>
      <c r="E200" s="614">
        <v>0</v>
      </c>
      <c r="F200" s="613">
        <v>0</v>
      </c>
      <c r="G200" s="615">
        <v>0</v>
      </c>
      <c r="H200" s="614">
        <v>0</v>
      </c>
      <c r="I200" s="613">
        <f>G200-H200</f>
        <v>0</v>
      </c>
      <c r="J200" s="615">
        <v>0</v>
      </c>
      <c r="K200" s="614">
        <v>0</v>
      </c>
      <c r="L200" s="613">
        <v>0</v>
      </c>
      <c r="M200" s="606"/>
    </row>
    <row r="201" spans="1:13" s="644" customFormat="1" ht="21" customHeight="1">
      <c r="A201" s="789"/>
      <c r="B201" s="797" t="s">
        <v>434</v>
      </c>
      <c r="C201" s="616">
        <f>D201+G201+J201+K201+L201</f>
        <v>5000</v>
      </c>
      <c r="D201" s="615">
        <v>5000</v>
      </c>
      <c r="E201" s="792">
        <v>3300</v>
      </c>
      <c r="F201" s="613">
        <v>1700</v>
      </c>
      <c r="G201" s="791">
        <v>0</v>
      </c>
      <c r="H201" s="614">
        <v>0</v>
      </c>
      <c r="I201" s="613">
        <f>G201-H201</f>
        <v>0</v>
      </c>
      <c r="J201" s="615">
        <v>0</v>
      </c>
      <c r="K201" s="614">
        <v>0</v>
      </c>
      <c r="L201" s="613">
        <v>0</v>
      </c>
      <c r="M201" s="788"/>
    </row>
    <row r="202" spans="1:13" s="644" customFormat="1" ht="21" customHeight="1" thickBot="1">
      <c r="A202" s="787"/>
      <c r="B202" s="786" t="s">
        <v>1649</v>
      </c>
      <c r="C202" s="762">
        <f t="shared" ref="C202:L202" si="40">C198-C194</f>
        <v>0</v>
      </c>
      <c r="D202" s="761">
        <f t="shared" si="40"/>
        <v>0</v>
      </c>
      <c r="E202" s="760">
        <f t="shared" si="40"/>
        <v>0</v>
      </c>
      <c r="F202" s="759">
        <f t="shared" si="40"/>
        <v>0</v>
      </c>
      <c r="G202" s="761">
        <f t="shared" si="40"/>
        <v>0</v>
      </c>
      <c r="H202" s="760">
        <f t="shared" si="40"/>
        <v>0</v>
      </c>
      <c r="I202" s="759">
        <f t="shared" si="40"/>
        <v>0</v>
      </c>
      <c r="J202" s="761">
        <f t="shared" si="40"/>
        <v>-1000000</v>
      </c>
      <c r="K202" s="760">
        <f t="shared" si="40"/>
        <v>0</v>
      </c>
      <c r="L202" s="759">
        <f t="shared" si="40"/>
        <v>1000000</v>
      </c>
      <c r="M202" s="785" t="s">
        <v>1869</v>
      </c>
    </row>
    <row r="203" spans="1:13" s="644" customFormat="1" ht="21" customHeight="1">
      <c r="A203" s="812" t="s">
        <v>1914</v>
      </c>
      <c r="B203" s="811" t="s">
        <v>1653</v>
      </c>
      <c r="C203" s="810">
        <v>32682000</v>
      </c>
      <c r="D203" s="809">
        <v>1000000</v>
      </c>
      <c r="E203" s="808">
        <v>611124</v>
      </c>
      <c r="F203" s="807">
        <v>388876</v>
      </c>
      <c r="G203" s="809">
        <v>0</v>
      </c>
      <c r="H203" s="808">
        <v>0</v>
      </c>
      <c r="I203" s="807">
        <v>0</v>
      </c>
      <c r="J203" s="809">
        <v>7005000</v>
      </c>
      <c r="K203" s="808">
        <v>5510000</v>
      </c>
      <c r="L203" s="807">
        <v>19167000</v>
      </c>
      <c r="M203" s="806" t="s">
        <v>1713</v>
      </c>
    </row>
    <row r="204" spans="1:13" s="644" customFormat="1" ht="21" customHeight="1">
      <c r="A204" s="789" t="s">
        <v>1913</v>
      </c>
      <c r="B204" s="664" t="s">
        <v>430</v>
      </c>
      <c r="C204" s="631">
        <v>30033000</v>
      </c>
      <c r="D204" s="629">
        <v>990000</v>
      </c>
      <c r="E204" s="614">
        <v>605614</v>
      </c>
      <c r="F204" s="627">
        <v>384386</v>
      </c>
      <c r="G204" s="629">
        <v>0</v>
      </c>
      <c r="H204" s="628">
        <v>0</v>
      </c>
      <c r="I204" s="627">
        <v>0</v>
      </c>
      <c r="J204" s="615">
        <v>7000000</v>
      </c>
      <c r="K204" s="614">
        <v>5000000</v>
      </c>
      <c r="L204" s="613">
        <v>17043000</v>
      </c>
      <c r="M204" s="788" t="s">
        <v>1861</v>
      </c>
    </row>
    <row r="205" spans="1:13" s="644" customFormat="1" ht="21" customHeight="1">
      <c r="A205" s="789" t="s">
        <v>1912</v>
      </c>
      <c r="B205" s="664" t="s">
        <v>432</v>
      </c>
      <c r="C205" s="616">
        <v>1332000</v>
      </c>
      <c r="D205" s="615">
        <v>0</v>
      </c>
      <c r="E205" s="614">
        <v>0</v>
      </c>
      <c r="F205" s="613">
        <v>0</v>
      </c>
      <c r="G205" s="615">
        <v>0</v>
      </c>
      <c r="H205" s="614">
        <v>0</v>
      </c>
      <c r="I205" s="613">
        <v>0</v>
      </c>
      <c r="J205" s="615"/>
      <c r="K205" s="614">
        <v>500000</v>
      </c>
      <c r="L205" s="613">
        <v>832000</v>
      </c>
      <c r="M205" s="788"/>
    </row>
    <row r="206" spans="1:13" s="644" customFormat="1" ht="21" customHeight="1">
      <c r="A206" s="789" t="s">
        <v>1911</v>
      </c>
      <c r="B206" s="793" t="s">
        <v>434</v>
      </c>
      <c r="C206" s="616">
        <v>1317000</v>
      </c>
      <c r="D206" s="791">
        <v>10000</v>
      </c>
      <c r="E206" s="792">
        <v>5510</v>
      </c>
      <c r="F206" s="798">
        <v>4490</v>
      </c>
      <c r="G206" s="791">
        <v>0</v>
      </c>
      <c r="H206" s="792">
        <v>0</v>
      </c>
      <c r="I206" s="798">
        <v>0</v>
      </c>
      <c r="J206" s="615">
        <v>5000</v>
      </c>
      <c r="K206" s="614">
        <v>10000</v>
      </c>
      <c r="L206" s="613">
        <v>1292000</v>
      </c>
      <c r="M206" s="788"/>
    </row>
    <row r="207" spans="1:13" s="644" customFormat="1" ht="21" customHeight="1">
      <c r="A207" s="789" t="s">
        <v>1910</v>
      </c>
      <c r="B207" s="624" t="s">
        <v>1651</v>
      </c>
      <c r="C207" s="623">
        <f>D207+G207+J207+K207+L207</f>
        <v>32682000</v>
      </c>
      <c r="D207" s="621">
        <f t="shared" ref="D207:L207" si="41">D208+D209+D210</f>
        <v>1000000</v>
      </c>
      <c r="E207" s="620">
        <f t="shared" si="41"/>
        <v>611124</v>
      </c>
      <c r="F207" s="619">
        <f t="shared" si="41"/>
        <v>388876</v>
      </c>
      <c r="G207" s="621">
        <f t="shared" si="41"/>
        <v>0</v>
      </c>
      <c r="H207" s="620">
        <f t="shared" si="41"/>
        <v>0</v>
      </c>
      <c r="I207" s="619">
        <f t="shared" si="41"/>
        <v>0</v>
      </c>
      <c r="J207" s="621">
        <f t="shared" si="41"/>
        <v>505000</v>
      </c>
      <c r="K207" s="620">
        <f t="shared" si="41"/>
        <v>5510000</v>
      </c>
      <c r="L207" s="619">
        <f t="shared" si="41"/>
        <v>25667000</v>
      </c>
      <c r="M207" s="788"/>
    </row>
    <row r="208" spans="1:13" s="644" customFormat="1" ht="21" customHeight="1">
      <c r="A208" s="789"/>
      <c r="B208" s="664" t="s">
        <v>430</v>
      </c>
      <c r="C208" s="616">
        <f>D208+G208+J208+K208+L208</f>
        <v>30033000</v>
      </c>
      <c r="D208" s="615">
        <v>990000</v>
      </c>
      <c r="E208" s="614">
        <v>605614</v>
      </c>
      <c r="F208" s="613">
        <v>384386</v>
      </c>
      <c r="G208" s="615">
        <v>0</v>
      </c>
      <c r="H208" s="614">
        <v>0</v>
      </c>
      <c r="I208" s="613">
        <f>G208-H208</f>
        <v>0</v>
      </c>
      <c r="J208" s="615">
        <v>500000</v>
      </c>
      <c r="K208" s="614">
        <v>5000000</v>
      </c>
      <c r="L208" s="613">
        <f>17043000+6500000</f>
        <v>23543000</v>
      </c>
      <c r="M208" s="606"/>
    </row>
    <row r="209" spans="1:13" s="644" customFormat="1" ht="21" customHeight="1">
      <c r="A209" s="790" t="s">
        <v>1842</v>
      </c>
      <c r="B209" s="664" t="s">
        <v>432</v>
      </c>
      <c r="C209" s="616">
        <f>D209+G209+J209+K209+L209</f>
        <v>1332000</v>
      </c>
      <c r="D209" s="615">
        <v>0</v>
      </c>
      <c r="E209" s="614">
        <v>0</v>
      </c>
      <c r="F209" s="613">
        <v>0</v>
      </c>
      <c r="G209" s="615">
        <v>0</v>
      </c>
      <c r="H209" s="614">
        <v>0</v>
      </c>
      <c r="I209" s="613">
        <f>G209-H209</f>
        <v>0</v>
      </c>
      <c r="J209" s="615">
        <v>0</v>
      </c>
      <c r="K209" s="614">
        <v>500000</v>
      </c>
      <c r="L209" s="613">
        <v>832000</v>
      </c>
      <c r="M209" s="606"/>
    </row>
    <row r="210" spans="1:13" s="644" customFormat="1" ht="21" customHeight="1">
      <c r="A210" s="789"/>
      <c r="B210" s="797" t="s">
        <v>434</v>
      </c>
      <c r="C210" s="616">
        <f>D210+G210+J210+K210+L210</f>
        <v>1317000</v>
      </c>
      <c r="D210" s="615">
        <v>10000</v>
      </c>
      <c r="E210" s="792">
        <v>5510</v>
      </c>
      <c r="F210" s="613">
        <v>4490</v>
      </c>
      <c r="G210" s="791">
        <v>0</v>
      </c>
      <c r="H210" s="614">
        <v>0</v>
      </c>
      <c r="I210" s="613">
        <f>G210-H210</f>
        <v>0</v>
      </c>
      <c r="J210" s="615">
        <v>5000</v>
      </c>
      <c r="K210" s="614">
        <v>10000</v>
      </c>
      <c r="L210" s="613">
        <v>1292000</v>
      </c>
      <c r="M210" s="788"/>
    </row>
    <row r="211" spans="1:13" s="644" customFormat="1" ht="21" customHeight="1" thickBot="1">
      <c r="A211" s="789"/>
      <c r="B211" s="805" t="s">
        <v>1649</v>
      </c>
      <c r="C211" s="804">
        <f t="shared" ref="C211:L211" si="42">C207-C203</f>
        <v>0</v>
      </c>
      <c r="D211" s="803">
        <f t="shared" si="42"/>
        <v>0</v>
      </c>
      <c r="E211" s="802">
        <f t="shared" si="42"/>
        <v>0</v>
      </c>
      <c r="F211" s="801">
        <f t="shared" si="42"/>
        <v>0</v>
      </c>
      <c r="G211" s="803">
        <f t="shared" si="42"/>
        <v>0</v>
      </c>
      <c r="H211" s="802">
        <f t="shared" si="42"/>
        <v>0</v>
      </c>
      <c r="I211" s="801">
        <f t="shared" si="42"/>
        <v>0</v>
      </c>
      <c r="J211" s="803">
        <f t="shared" si="42"/>
        <v>-6500000</v>
      </c>
      <c r="K211" s="802">
        <f t="shared" si="42"/>
        <v>0</v>
      </c>
      <c r="L211" s="801">
        <f t="shared" si="42"/>
        <v>6500000</v>
      </c>
      <c r="M211" s="800" t="s">
        <v>1869</v>
      </c>
    </row>
    <row r="212" spans="1:13" s="644" customFormat="1" ht="21" customHeight="1">
      <c r="A212" s="796" t="s">
        <v>1909</v>
      </c>
      <c r="B212" s="795" t="s">
        <v>1653</v>
      </c>
      <c r="C212" s="743">
        <v>60611000</v>
      </c>
      <c r="D212" s="741">
        <v>145000</v>
      </c>
      <c r="E212" s="740">
        <v>46230</v>
      </c>
      <c r="F212" s="739">
        <v>98770</v>
      </c>
      <c r="G212" s="741">
        <v>0</v>
      </c>
      <c r="H212" s="740">
        <v>0</v>
      </c>
      <c r="I212" s="739">
        <v>0</v>
      </c>
      <c r="J212" s="741">
        <v>1505000</v>
      </c>
      <c r="K212" s="740">
        <v>0</v>
      </c>
      <c r="L212" s="739">
        <v>58916000</v>
      </c>
      <c r="M212" s="794" t="s">
        <v>1713</v>
      </c>
    </row>
    <row r="213" spans="1:13" s="644" customFormat="1" ht="21" customHeight="1">
      <c r="A213" s="789" t="s">
        <v>1908</v>
      </c>
      <c r="B213" s="664" t="s">
        <v>430</v>
      </c>
      <c r="C213" s="631">
        <v>58201000</v>
      </c>
      <c r="D213" s="629">
        <v>95000</v>
      </c>
      <c r="E213" s="614">
        <v>0</v>
      </c>
      <c r="F213" s="627">
        <v>95000</v>
      </c>
      <c r="G213" s="629">
        <v>0</v>
      </c>
      <c r="H213" s="628">
        <v>0</v>
      </c>
      <c r="I213" s="627">
        <v>0</v>
      </c>
      <c r="J213" s="615">
        <v>1500000</v>
      </c>
      <c r="K213" s="614">
        <v>0</v>
      </c>
      <c r="L213" s="613">
        <v>56606000</v>
      </c>
      <c r="M213" s="788" t="s">
        <v>1861</v>
      </c>
    </row>
    <row r="214" spans="1:13" s="644" customFormat="1" ht="21" customHeight="1">
      <c r="A214" s="789" t="s">
        <v>1907</v>
      </c>
      <c r="B214" s="664" t="s">
        <v>432</v>
      </c>
      <c r="C214" s="616">
        <v>2320000</v>
      </c>
      <c r="D214" s="615">
        <v>0</v>
      </c>
      <c r="E214" s="614">
        <v>0</v>
      </c>
      <c r="F214" s="613">
        <v>0</v>
      </c>
      <c r="G214" s="615">
        <v>0</v>
      </c>
      <c r="H214" s="614">
        <v>0</v>
      </c>
      <c r="I214" s="613">
        <v>0</v>
      </c>
      <c r="J214" s="615">
        <v>0</v>
      </c>
      <c r="K214" s="614">
        <v>0</v>
      </c>
      <c r="L214" s="613">
        <v>2320000</v>
      </c>
      <c r="M214" s="788"/>
    </row>
    <row r="215" spans="1:13" s="644" customFormat="1" ht="21" customHeight="1">
      <c r="A215" s="789" t="s">
        <v>1906</v>
      </c>
      <c r="B215" s="793" t="s">
        <v>434</v>
      </c>
      <c r="C215" s="799">
        <v>90000</v>
      </c>
      <c r="D215" s="791">
        <v>50000</v>
      </c>
      <c r="E215" s="614">
        <v>46230</v>
      </c>
      <c r="F215" s="798">
        <v>3770</v>
      </c>
      <c r="G215" s="791">
        <v>0</v>
      </c>
      <c r="H215" s="792">
        <v>0</v>
      </c>
      <c r="I215" s="798">
        <v>0</v>
      </c>
      <c r="J215" s="615">
        <v>5000</v>
      </c>
      <c r="K215" s="614">
        <v>0</v>
      </c>
      <c r="L215" s="613">
        <v>-10000</v>
      </c>
      <c r="M215" s="788"/>
    </row>
    <row r="216" spans="1:13" s="644" customFormat="1" ht="21" customHeight="1">
      <c r="A216" s="789" t="s">
        <v>1889</v>
      </c>
      <c r="B216" s="624" t="s">
        <v>1651</v>
      </c>
      <c r="C216" s="623">
        <f>D216+G216+J216+K216+L216</f>
        <v>60566000</v>
      </c>
      <c r="D216" s="621">
        <f t="shared" ref="D216:L216" si="43">D217+D218+D219</f>
        <v>145000</v>
      </c>
      <c r="E216" s="620">
        <f t="shared" si="43"/>
        <v>46230</v>
      </c>
      <c r="F216" s="619">
        <f t="shared" si="43"/>
        <v>98770</v>
      </c>
      <c r="G216" s="621">
        <f t="shared" si="43"/>
        <v>0</v>
      </c>
      <c r="H216" s="620">
        <f t="shared" si="43"/>
        <v>0</v>
      </c>
      <c r="I216" s="619">
        <f t="shared" si="43"/>
        <v>0</v>
      </c>
      <c r="J216" s="621">
        <f t="shared" si="43"/>
        <v>505000</v>
      </c>
      <c r="K216" s="620">
        <f t="shared" si="43"/>
        <v>0</v>
      </c>
      <c r="L216" s="619">
        <f t="shared" si="43"/>
        <v>59916000</v>
      </c>
      <c r="M216" s="788"/>
    </row>
    <row r="217" spans="1:13" s="644" customFormat="1" ht="21" customHeight="1">
      <c r="A217" s="789"/>
      <c r="B217" s="664" t="s">
        <v>430</v>
      </c>
      <c r="C217" s="616">
        <f>D217+G217+J217+K217+L217</f>
        <v>58201000</v>
      </c>
      <c r="D217" s="615">
        <v>95000</v>
      </c>
      <c r="E217" s="614">
        <v>0</v>
      </c>
      <c r="F217" s="613">
        <v>95000</v>
      </c>
      <c r="G217" s="615">
        <v>0</v>
      </c>
      <c r="H217" s="614">
        <v>0</v>
      </c>
      <c r="I217" s="613">
        <f>G217-H217</f>
        <v>0</v>
      </c>
      <c r="J217" s="615">
        <v>500000</v>
      </c>
      <c r="K217" s="614">
        <v>0</v>
      </c>
      <c r="L217" s="613">
        <f>56606000+1000000</f>
        <v>57606000</v>
      </c>
      <c r="M217" s="606"/>
    </row>
    <row r="218" spans="1:13" s="644" customFormat="1" ht="21" customHeight="1">
      <c r="A218" s="790" t="s">
        <v>1650</v>
      </c>
      <c r="B218" s="664" t="s">
        <v>432</v>
      </c>
      <c r="C218" s="616">
        <f>D218+G218+J218+K218+L218</f>
        <v>2320000</v>
      </c>
      <c r="D218" s="615">
        <v>0</v>
      </c>
      <c r="E218" s="614">
        <v>0</v>
      </c>
      <c r="F218" s="613">
        <v>0</v>
      </c>
      <c r="G218" s="615">
        <v>0</v>
      </c>
      <c r="H218" s="614">
        <v>0</v>
      </c>
      <c r="I218" s="613">
        <f>G218-H218</f>
        <v>0</v>
      </c>
      <c r="J218" s="615">
        <v>0</v>
      </c>
      <c r="K218" s="614">
        <v>0</v>
      </c>
      <c r="L218" s="613">
        <v>2320000</v>
      </c>
      <c r="M218" s="606"/>
    </row>
    <row r="219" spans="1:13" s="644" customFormat="1" ht="21" customHeight="1">
      <c r="A219" s="789"/>
      <c r="B219" s="797" t="s">
        <v>434</v>
      </c>
      <c r="C219" s="616">
        <f>D219+G219+J219+K219+L219</f>
        <v>45000</v>
      </c>
      <c r="D219" s="615">
        <v>50000</v>
      </c>
      <c r="E219" s="792">
        <v>46230</v>
      </c>
      <c r="F219" s="613">
        <v>3770</v>
      </c>
      <c r="G219" s="791">
        <v>0</v>
      </c>
      <c r="H219" s="614">
        <v>0</v>
      </c>
      <c r="I219" s="613">
        <f>G219-H219</f>
        <v>0</v>
      </c>
      <c r="J219" s="615">
        <v>5000</v>
      </c>
      <c r="K219" s="614">
        <v>0</v>
      </c>
      <c r="L219" s="613">
        <v>-10000</v>
      </c>
      <c r="M219" s="788"/>
    </row>
    <row r="220" spans="1:13" s="644" customFormat="1" ht="21" customHeight="1" thickBot="1">
      <c r="A220" s="787"/>
      <c r="B220" s="786" t="s">
        <v>1649</v>
      </c>
      <c r="C220" s="762">
        <f t="shared" ref="C220:L220" si="44">C216-C212</f>
        <v>-45000</v>
      </c>
      <c r="D220" s="761">
        <f t="shared" si="44"/>
        <v>0</v>
      </c>
      <c r="E220" s="760">
        <f t="shared" si="44"/>
        <v>0</v>
      </c>
      <c r="F220" s="759">
        <f t="shared" si="44"/>
        <v>0</v>
      </c>
      <c r="G220" s="761">
        <f t="shared" si="44"/>
        <v>0</v>
      </c>
      <c r="H220" s="760">
        <f t="shared" si="44"/>
        <v>0</v>
      </c>
      <c r="I220" s="759">
        <f t="shared" si="44"/>
        <v>0</v>
      </c>
      <c r="J220" s="761">
        <f t="shared" si="44"/>
        <v>-1000000</v>
      </c>
      <c r="K220" s="760">
        <f t="shared" si="44"/>
        <v>0</v>
      </c>
      <c r="L220" s="759">
        <f t="shared" si="44"/>
        <v>1000000</v>
      </c>
      <c r="M220" s="785" t="s">
        <v>1869</v>
      </c>
    </row>
    <row r="221" spans="1:13" s="644" customFormat="1" ht="20.25" customHeight="1">
      <c r="A221" s="796" t="s">
        <v>1905</v>
      </c>
      <c r="B221" s="795" t="s">
        <v>1653</v>
      </c>
      <c r="C221" s="743">
        <v>66150000</v>
      </c>
      <c r="D221" s="741">
        <v>0</v>
      </c>
      <c r="E221" s="740">
        <v>0</v>
      </c>
      <c r="F221" s="739">
        <v>0</v>
      </c>
      <c r="G221" s="741">
        <v>50000</v>
      </c>
      <c r="H221" s="740">
        <v>0</v>
      </c>
      <c r="I221" s="739">
        <v>50000</v>
      </c>
      <c r="J221" s="741">
        <v>1000000</v>
      </c>
      <c r="K221" s="740">
        <v>0</v>
      </c>
      <c r="L221" s="739">
        <v>65100000</v>
      </c>
      <c r="M221" s="794" t="s">
        <v>1713</v>
      </c>
    </row>
    <row r="222" spans="1:13" s="644" customFormat="1" ht="20.25" customHeight="1">
      <c r="A222" s="789" t="s">
        <v>1904</v>
      </c>
      <c r="B222" s="664" t="s">
        <v>430</v>
      </c>
      <c r="C222" s="631">
        <v>62891000</v>
      </c>
      <c r="D222" s="629">
        <v>0</v>
      </c>
      <c r="E222" s="614">
        <v>0</v>
      </c>
      <c r="F222" s="627">
        <v>0</v>
      </c>
      <c r="G222" s="629">
        <v>40000</v>
      </c>
      <c r="H222" s="628">
        <v>0</v>
      </c>
      <c r="I222" s="627">
        <v>40000</v>
      </c>
      <c r="J222" s="615">
        <v>1000000</v>
      </c>
      <c r="K222" s="614">
        <v>0</v>
      </c>
      <c r="L222" s="613">
        <v>61851000</v>
      </c>
      <c r="M222" s="788" t="s">
        <v>1861</v>
      </c>
    </row>
    <row r="223" spans="1:13" s="644" customFormat="1" ht="20.25" customHeight="1">
      <c r="A223" s="789" t="s">
        <v>1903</v>
      </c>
      <c r="B223" s="664" t="s">
        <v>432</v>
      </c>
      <c r="C223" s="616">
        <v>3121000</v>
      </c>
      <c r="D223" s="615">
        <v>0</v>
      </c>
      <c r="E223" s="614">
        <v>0</v>
      </c>
      <c r="F223" s="613">
        <v>0</v>
      </c>
      <c r="G223" s="615">
        <v>0</v>
      </c>
      <c r="H223" s="614">
        <v>0</v>
      </c>
      <c r="I223" s="613">
        <v>0</v>
      </c>
      <c r="J223" s="615">
        <v>0</v>
      </c>
      <c r="K223" s="614">
        <v>0</v>
      </c>
      <c r="L223" s="613">
        <v>3121000</v>
      </c>
      <c r="M223" s="788"/>
    </row>
    <row r="224" spans="1:13" s="644" customFormat="1" ht="20.25" customHeight="1">
      <c r="A224" s="789" t="s">
        <v>1902</v>
      </c>
      <c r="B224" s="793" t="s">
        <v>434</v>
      </c>
      <c r="C224" s="616">
        <v>138000</v>
      </c>
      <c r="D224" s="791">
        <v>0</v>
      </c>
      <c r="E224" s="614">
        <v>0</v>
      </c>
      <c r="F224" s="798">
        <v>0</v>
      </c>
      <c r="G224" s="791">
        <v>10000</v>
      </c>
      <c r="H224" s="792">
        <v>0</v>
      </c>
      <c r="I224" s="798">
        <v>10000</v>
      </c>
      <c r="J224" s="615">
        <v>0</v>
      </c>
      <c r="K224" s="614">
        <v>0</v>
      </c>
      <c r="L224" s="613">
        <v>128000</v>
      </c>
      <c r="M224" s="788"/>
    </row>
    <row r="225" spans="1:13" s="644" customFormat="1" ht="20.25" customHeight="1">
      <c r="A225" s="789" t="s">
        <v>1884</v>
      </c>
      <c r="B225" s="624" t="s">
        <v>1651</v>
      </c>
      <c r="C225" s="623">
        <f>D225+G225+J225+K225+L225</f>
        <v>66150000</v>
      </c>
      <c r="D225" s="621">
        <f t="shared" ref="D225:L225" si="45">D226+D227+D228</f>
        <v>0</v>
      </c>
      <c r="E225" s="620">
        <f t="shared" si="45"/>
        <v>0</v>
      </c>
      <c r="F225" s="619">
        <f t="shared" si="45"/>
        <v>0</v>
      </c>
      <c r="G225" s="621">
        <f t="shared" si="45"/>
        <v>50000</v>
      </c>
      <c r="H225" s="620">
        <f t="shared" si="45"/>
        <v>0</v>
      </c>
      <c r="I225" s="619">
        <f t="shared" si="45"/>
        <v>50000</v>
      </c>
      <c r="J225" s="621">
        <f t="shared" si="45"/>
        <v>200000</v>
      </c>
      <c r="K225" s="620">
        <f t="shared" si="45"/>
        <v>0</v>
      </c>
      <c r="L225" s="619">
        <f t="shared" si="45"/>
        <v>65900000</v>
      </c>
      <c r="M225" s="788"/>
    </row>
    <row r="226" spans="1:13" s="644" customFormat="1" ht="20.25" customHeight="1">
      <c r="A226" s="789"/>
      <c r="B226" s="664" t="s">
        <v>430</v>
      </c>
      <c r="C226" s="616">
        <f>D226+G226+J226+K226+L226</f>
        <v>62891000</v>
      </c>
      <c r="D226" s="615">
        <v>0</v>
      </c>
      <c r="E226" s="614">
        <v>0</v>
      </c>
      <c r="F226" s="613">
        <v>0</v>
      </c>
      <c r="G226" s="615">
        <v>40000</v>
      </c>
      <c r="H226" s="614">
        <v>0</v>
      </c>
      <c r="I226" s="613">
        <f>G226-H226</f>
        <v>40000</v>
      </c>
      <c r="J226" s="615">
        <v>200000</v>
      </c>
      <c r="K226" s="614">
        <v>0</v>
      </c>
      <c r="L226" s="613">
        <f>61851000+800000</f>
        <v>62651000</v>
      </c>
      <c r="M226" s="606"/>
    </row>
    <row r="227" spans="1:13" s="644" customFormat="1" ht="20.25" customHeight="1">
      <c r="A227" s="790" t="s">
        <v>1650</v>
      </c>
      <c r="B227" s="664" t="s">
        <v>432</v>
      </c>
      <c r="C227" s="616">
        <f>D227+G227+J227+K227+L227</f>
        <v>3121000</v>
      </c>
      <c r="D227" s="615">
        <v>0</v>
      </c>
      <c r="E227" s="614">
        <v>0</v>
      </c>
      <c r="F227" s="613">
        <v>0</v>
      </c>
      <c r="G227" s="615">
        <v>0</v>
      </c>
      <c r="H227" s="614">
        <v>0</v>
      </c>
      <c r="I227" s="613">
        <f>G227-H227</f>
        <v>0</v>
      </c>
      <c r="J227" s="615">
        <v>0</v>
      </c>
      <c r="K227" s="614">
        <v>0</v>
      </c>
      <c r="L227" s="613">
        <v>3121000</v>
      </c>
      <c r="M227" s="606"/>
    </row>
    <row r="228" spans="1:13" s="644" customFormat="1" ht="20.25" customHeight="1">
      <c r="A228" s="789"/>
      <c r="B228" s="797" t="s">
        <v>434</v>
      </c>
      <c r="C228" s="616">
        <f>D228+G228+J228+K228+L228</f>
        <v>138000</v>
      </c>
      <c r="D228" s="615">
        <v>0</v>
      </c>
      <c r="E228" s="792">
        <v>0</v>
      </c>
      <c r="F228" s="613">
        <v>0</v>
      </c>
      <c r="G228" s="791">
        <v>10000</v>
      </c>
      <c r="H228" s="614">
        <v>0</v>
      </c>
      <c r="I228" s="613">
        <f>G228-H228</f>
        <v>10000</v>
      </c>
      <c r="J228" s="615">
        <v>0</v>
      </c>
      <c r="K228" s="614">
        <v>0</v>
      </c>
      <c r="L228" s="613">
        <v>128000</v>
      </c>
      <c r="M228" s="788"/>
    </row>
    <row r="229" spans="1:13" s="644" customFormat="1" ht="20.25" customHeight="1" thickBot="1">
      <c r="A229" s="787"/>
      <c r="B229" s="786" t="s">
        <v>1649</v>
      </c>
      <c r="C229" s="762">
        <f t="shared" ref="C229:L229" si="46">C225-C221</f>
        <v>0</v>
      </c>
      <c r="D229" s="761">
        <f t="shared" si="46"/>
        <v>0</v>
      </c>
      <c r="E229" s="760">
        <f t="shared" si="46"/>
        <v>0</v>
      </c>
      <c r="F229" s="759">
        <f t="shared" si="46"/>
        <v>0</v>
      </c>
      <c r="G229" s="761">
        <f t="shared" si="46"/>
        <v>0</v>
      </c>
      <c r="H229" s="760">
        <f t="shared" si="46"/>
        <v>0</v>
      </c>
      <c r="I229" s="759">
        <f t="shared" si="46"/>
        <v>0</v>
      </c>
      <c r="J229" s="761">
        <f t="shared" si="46"/>
        <v>-800000</v>
      </c>
      <c r="K229" s="760">
        <f t="shared" si="46"/>
        <v>0</v>
      </c>
      <c r="L229" s="759">
        <f t="shared" si="46"/>
        <v>800000</v>
      </c>
      <c r="M229" s="785" t="s">
        <v>1869</v>
      </c>
    </row>
    <row r="230" spans="1:13" s="644" customFormat="1" ht="20.25" customHeight="1">
      <c r="A230" s="796" t="s">
        <v>1901</v>
      </c>
      <c r="B230" s="795" t="s">
        <v>1653</v>
      </c>
      <c r="C230" s="743">
        <v>37645000</v>
      </c>
      <c r="D230" s="741">
        <v>0</v>
      </c>
      <c r="E230" s="740">
        <v>0</v>
      </c>
      <c r="F230" s="739">
        <v>0</v>
      </c>
      <c r="G230" s="741">
        <v>50000</v>
      </c>
      <c r="H230" s="740">
        <v>75</v>
      </c>
      <c r="I230" s="739">
        <v>49925</v>
      </c>
      <c r="J230" s="741">
        <v>1000000</v>
      </c>
      <c r="K230" s="740">
        <v>0</v>
      </c>
      <c r="L230" s="739">
        <v>36595000</v>
      </c>
      <c r="M230" s="794" t="s">
        <v>1713</v>
      </c>
    </row>
    <row r="231" spans="1:13" s="644" customFormat="1" ht="25.5" customHeight="1">
      <c r="A231" s="789" t="s">
        <v>1900</v>
      </c>
      <c r="B231" s="664" t="s">
        <v>430</v>
      </c>
      <c r="C231" s="631">
        <v>36235000</v>
      </c>
      <c r="D231" s="629">
        <v>0</v>
      </c>
      <c r="E231" s="614">
        <v>0</v>
      </c>
      <c r="F231" s="627">
        <v>0</v>
      </c>
      <c r="G231" s="629">
        <v>40000</v>
      </c>
      <c r="H231" s="628">
        <v>0</v>
      </c>
      <c r="I231" s="627">
        <v>40000</v>
      </c>
      <c r="J231" s="615">
        <v>1000000</v>
      </c>
      <c r="K231" s="614">
        <v>0</v>
      </c>
      <c r="L231" s="613">
        <v>35195000</v>
      </c>
      <c r="M231" s="788" t="s">
        <v>1861</v>
      </c>
    </row>
    <row r="232" spans="1:13" s="644" customFormat="1" ht="25.5" customHeight="1">
      <c r="A232" s="789" t="s">
        <v>1899</v>
      </c>
      <c r="B232" s="664" t="s">
        <v>432</v>
      </c>
      <c r="C232" s="616">
        <v>1364000</v>
      </c>
      <c r="D232" s="615">
        <v>0</v>
      </c>
      <c r="E232" s="614">
        <v>0</v>
      </c>
      <c r="F232" s="613">
        <v>0</v>
      </c>
      <c r="G232" s="615">
        <v>0</v>
      </c>
      <c r="H232" s="614">
        <v>0</v>
      </c>
      <c r="I232" s="613">
        <v>0</v>
      </c>
      <c r="J232" s="615">
        <v>0</v>
      </c>
      <c r="K232" s="614">
        <v>0</v>
      </c>
      <c r="L232" s="613">
        <v>1364000</v>
      </c>
      <c r="M232" s="788"/>
    </row>
    <row r="233" spans="1:13" s="644" customFormat="1" ht="25.5" customHeight="1">
      <c r="A233" s="789" t="s">
        <v>1898</v>
      </c>
      <c r="B233" s="793" t="s">
        <v>434</v>
      </c>
      <c r="C233" s="799">
        <v>46000</v>
      </c>
      <c r="D233" s="791">
        <v>0</v>
      </c>
      <c r="E233" s="614">
        <v>0</v>
      </c>
      <c r="F233" s="798">
        <v>0</v>
      </c>
      <c r="G233" s="791">
        <v>10000</v>
      </c>
      <c r="H233" s="792">
        <v>75</v>
      </c>
      <c r="I233" s="798">
        <v>9925</v>
      </c>
      <c r="J233" s="615">
        <v>0</v>
      </c>
      <c r="K233" s="614">
        <v>0</v>
      </c>
      <c r="L233" s="613">
        <v>36000</v>
      </c>
      <c r="M233" s="788"/>
    </row>
    <row r="234" spans="1:13" s="644" customFormat="1" ht="20.25" customHeight="1">
      <c r="A234" s="789" t="s">
        <v>1884</v>
      </c>
      <c r="B234" s="624" t="s">
        <v>1651</v>
      </c>
      <c r="C234" s="623">
        <f>D234+G234+J234+K234+L234</f>
        <v>37645000</v>
      </c>
      <c r="D234" s="621">
        <f t="shared" ref="D234:L234" si="47">D235+D236+D237</f>
        <v>0</v>
      </c>
      <c r="E234" s="620">
        <f t="shared" si="47"/>
        <v>0</v>
      </c>
      <c r="F234" s="619">
        <f t="shared" si="47"/>
        <v>0</v>
      </c>
      <c r="G234" s="621">
        <f t="shared" si="47"/>
        <v>50000</v>
      </c>
      <c r="H234" s="620">
        <f t="shared" si="47"/>
        <v>75</v>
      </c>
      <c r="I234" s="619">
        <f t="shared" si="47"/>
        <v>49925</v>
      </c>
      <c r="J234" s="621">
        <f t="shared" si="47"/>
        <v>200000</v>
      </c>
      <c r="K234" s="620">
        <f t="shared" si="47"/>
        <v>0</v>
      </c>
      <c r="L234" s="619">
        <f t="shared" si="47"/>
        <v>37395000</v>
      </c>
      <c r="M234" s="788"/>
    </row>
    <row r="235" spans="1:13" s="644" customFormat="1" ht="20.25" customHeight="1">
      <c r="A235" s="789"/>
      <c r="B235" s="664" t="s">
        <v>430</v>
      </c>
      <c r="C235" s="616">
        <f>D235+G235+J235+K235+L235</f>
        <v>36235000</v>
      </c>
      <c r="D235" s="615">
        <v>0</v>
      </c>
      <c r="E235" s="614">
        <v>0</v>
      </c>
      <c r="F235" s="613">
        <v>0</v>
      </c>
      <c r="G235" s="615">
        <v>40000</v>
      </c>
      <c r="H235" s="614">
        <v>0</v>
      </c>
      <c r="I235" s="613">
        <f>G235-H235</f>
        <v>40000</v>
      </c>
      <c r="J235" s="615">
        <v>200000</v>
      </c>
      <c r="K235" s="614">
        <v>0</v>
      </c>
      <c r="L235" s="613">
        <f>35195000+800000</f>
        <v>35995000</v>
      </c>
      <c r="M235" s="606"/>
    </row>
    <row r="236" spans="1:13" s="644" customFormat="1" ht="20.25" customHeight="1">
      <c r="A236" s="790" t="s">
        <v>1650</v>
      </c>
      <c r="B236" s="664" t="s">
        <v>432</v>
      </c>
      <c r="C236" s="616">
        <f>D236+G236+J236+K236+L236</f>
        <v>1364000</v>
      </c>
      <c r="D236" s="615">
        <v>0</v>
      </c>
      <c r="E236" s="614">
        <v>0</v>
      </c>
      <c r="F236" s="613">
        <v>0</v>
      </c>
      <c r="G236" s="615">
        <v>0</v>
      </c>
      <c r="H236" s="614">
        <v>0</v>
      </c>
      <c r="I236" s="613">
        <f>G236-H236</f>
        <v>0</v>
      </c>
      <c r="J236" s="615">
        <v>0</v>
      </c>
      <c r="K236" s="614">
        <v>0</v>
      </c>
      <c r="L236" s="613">
        <v>1364000</v>
      </c>
      <c r="M236" s="606"/>
    </row>
    <row r="237" spans="1:13" s="644" customFormat="1" ht="20.25" customHeight="1">
      <c r="A237" s="789"/>
      <c r="B237" s="797" t="s">
        <v>434</v>
      </c>
      <c r="C237" s="616">
        <f>D237+G237+J237+K237+L237</f>
        <v>46000</v>
      </c>
      <c r="D237" s="615">
        <v>0</v>
      </c>
      <c r="E237" s="792">
        <v>0</v>
      </c>
      <c r="F237" s="613">
        <v>0</v>
      </c>
      <c r="G237" s="791">
        <v>10000</v>
      </c>
      <c r="H237" s="614">
        <v>75</v>
      </c>
      <c r="I237" s="613">
        <f>G237-H237</f>
        <v>9925</v>
      </c>
      <c r="J237" s="615">
        <v>0</v>
      </c>
      <c r="K237" s="614">
        <v>0</v>
      </c>
      <c r="L237" s="613">
        <v>36000</v>
      </c>
      <c r="M237" s="788"/>
    </row>
    <row r="238" spans="1:13" s="644" customFormat="1" ht="20.25" customHeight="1" thickBot="1">
      <c r="A238" s="787"/>
      <c r="B238" s="786" t="s">
        <v>1649</v>
      </c>
      <c r="C238" s="762">
        <f t="shared" ref="C238:L238" si="48">C234-C230</f>
        <v>0</v>
      </c>
      <c r="D238" s="761">
        <f t="shared" si="48"/>
        <v>0</v>
      </c>
      <c r="E238" s="760">
        <f t="shared" si="48"/>
        <v>0</v>
      </c>
      <c r="F238" s="759">
        <f t="shared" si="48"/>
        <v>0</v>
      </c>
      <c r="G238" s="761">
        <f t="shared" si="48"/>
        <v>0</v>
      </c>
      <c r="H238" s="760">
        <f t="shared" si="48"/>
        <v>0</v>
      </c>
      <c r="I238" s="759">
        <f t="shared" si="48"/>
        <v>0</v>
      </c>
      <c r="J238" s="761">
        <f t="shared" si="48"/>
        <v>-800000</v>
      </c>
      <c r="K238" s="760">
        <f t="shared" si="48"/>
        <v>0</v>
      </c>
      <c r="L238" s="759">
        <f t="shared" si="48"/>
        <v>800000</v>
      </c>
      <c r="M238" s="785" t="s">
        <v>1869</v>
      </c>
    </row>
    <row r="239" spans="1:13" s="644" customFormat="1" ht="20.25" customHeight="1">
      <c r="A239" s="796" t="s">
        <v>1897</v>
      </c>
      <c r="B239" s="795" t="s">
        <v>1653</v>
      </c>
      <c r="C239" s="743">
        <v>23828000</v>
      </c>
      <c r="D239" s="741">
        <v>100000</v>
      </c>
      <c r="E239" s="740">
        <v>100000</v>
      </c>
      <c r="F239" s="739">
        <v>0</v>
      </c>
      <c r="G239" s="741">
        <v>1000000</v>
      </c>
      <c r="H239" s="740">
        <v>0</v>
      </c>
      <c r="I239" s="739">
        <v>1000000</v>
      </c>
      <c r="J239" s="741">
        <v>1000000</v>
      </c>
      <c r="K239" s="740">
        <v>0</v>
      </c>
      <c r="L239" s="739">
        <v>21728000</v>
      </c>
      <c r="M239" s="794" t="s">
        <v>1713</v>
      </c>
    </row>
    <row r="240" spans="1:13" s="644" customFormat="1" ht="21" customHeight="1">
      <c r="A240" s="789" t="s">
        <v>1896</v>
      </c>
      <c r="B240" s="664" t="s">
        <v>430</v>
      </c>
      <c r="C240" s="631">
        <v>22718000</v>
      </c>
      <c r="D240" s="629">
        <v>95000</v>
      </c>
      <c r="E240" s="614">
        <v>95000</v>
      </c>
      <c r="F240" s="627">
        <v>0</v>
      </c>
      <c r="G240" s="629">
        <v>990000</v>
      </c>
      <c r="H240" s="628">
        <v>0</v>
      </c>
      <c r="I240" s="627">
        <v>990000</v>
      </c>
      <c r="J240" s="615">
        <v>1000000</v>
      </c>
      <c r="K240" s="614">
        <v>0</v>
      </c>
      <c r="L240" s="613">
        <v>20633000</v>
      </c>
      <c r="M240" s="788" t="s">
        <v>1861</v>
      </c>
    </row>
    <row r="241" spans="1:13" s="644" customFormat="1" ht="21" customHeight="1">
      <c r="A241" s="789" t="s">
        <v>1895</v>
      </c>
      <c r="B241" s="664" t="s">
        <v>432</v>
      </c>
      <c r="C241" s="616">
        <v>1077000</v>
      </c>
      <c r="D241" s="615">
        <v>0</v>
      </c>
      <c r="E241" s="614">
        <v>0</v>
      </c>
      <c r="F241" s="613">
        <v>0</v>
      </c>
      <c r="G241" s="615">
        <v>0</v>
      </c>
      <c r="H241" s="614">
        <v>0</v>
      </c>
      <c r="I241" s="613">
        <v>0</v>
      </c>
      <c r="J241" s="615">
        <v>0</v>
      </c>
      <c r="K241" s="614">
        <v>0</v>
      </c>
      <c r="L241" s="613">
        <v>1077000</v>
      </c>
      <c r="M241" s="788"/>
    </row>
    <row r="242" spans="1:13" s="644" customFormat="1" ht="21" customHeight="1">
      <c r="A242" s="789" t="s">
        <v>1894</v>
      </c>
      <c r="B242" s="793" t="s">
        <v>434</v>
      </c>
      <c r="C242" s="616">
        <v>33000</v>
      </c>
      <c r="D242" s="791">
        <v>5000</v>
      </c>
      <c r="E242" s="614">
        <v>5000</v>
      </c>
      <c r="F242" s="798">
        <v>0</v>
      </c>
      <c r="G242" s="791">
        <v>10000</v>
      </c>
      <c r="H242" s="792">
        <v>0</v>
      </c>
      <c r="I242" s="798">
        <v>10000</v>
      </c>
      <c r="J242" s="615">
        <v>0</v>
      </c>
      <c r="K242" s="614">
        <v>0</v>
      </c>
      <c r="L242" s="613">
        <v>18000</v>
      </c>
      <c r="M242" s="788"/>
    </row>
    <row r="243" spans="1:13" s="644" customFormat="1" ht="20.25" customHeight="1">
      <c r="A243" s="789" t="s">
        <v>1889</v>
      </c>
      <c r="B243" s="624" t="s">
        <v>1651</v>
      </c>
      <c r="C243" s="623">
        <f>D243+G243+J243+K243+L243</f>
        <v>23828000</v>
      </c>
      <c r="D243" s="621">
        <f t="shared" ref="D243:L243" si="49">D244+D245+D246</f>
        <v>100000</v>
      </c>
      <c r="E243" s="620">
        <f t="shared" si="49"/>
        <v>100000</v>
      </c>
      <c r="F243" s="619">
        <f t="shared" si="49"/>
        <v>0</v>
      </c>
      <c r="G243" s="621">
        <f t="shared" si="49"/>
        <v>1000000</v>
      </c>
      <c r="H243" s="620">
        <f t="shared" si="49"/>
        <v>356000</v>
      </c>
      <c r="I243" s="619">
        <f t="shared" si="49"/>
        <v>644000</v>
      </c>
      <c r="J243" s="621">
        <f t="shared" si="49"/>
        <v>0</v>
      </c>
      <c r="K243" s="620">
        <f t="shared" si="49"/>
        <v>0</v>
      </c>
      <c r="L243" s="619">
        <f t="shared" si="49"/>
        <v>22728000</v>
      </c>
      <c r="M243" s="788"/>
    </row>
    <row r="244" spans="1:13" s="644" customFormat="1" ht="22.5" customHeight="1">
      <c r="A244" s="789"/>
      <c r="B244" s="664" t="s">
        <v>430</v>
      </c>
      <c r="C244" s="616">
        <f>D244+G244+J244+K244+L244</f>
        <v>22718000</v>
      </c>
      <c r="D244" s="615">
        <v>95000</v>
      </c>
      <c r="E244" s="614">
        <v>95000</v>
      </c>
      <c r="F244" s="613">
        <v>0</v>
      </c>
      <c r="G244" s="615">
        <v>990000</v>
      </c>
      <c r="H244" s="614">
        <v>356000</v>
      </c>
      <c r="I244" s="613">
        <f>G244-H244</f>
        <v>634000</v>
      </c>
      <c r="J244" s="615">
        <v>0</v>
      </c>
      <c r="K244" s="614">
        <v>0</v>
      </c>
      <c r="L244" s="613">
        <f>20633000+1000000</f>
        <v>21633000</v>
      </c>
      <c r="M244" s="606"/>
    </row>
    <row r="245" spans="1:13" s="644" customFormat="1" ht="22.5" customHeight="1">
      <c r="A245" s="790" t="s">
        <v>1650</v>
      </c>
      <c r="B245" s="664" t="s">
        <v>432</v>
      </c>
      <c r="C245" s="616">
        <f>D245+G245+J245+K245+L245</f>
        <v>1077000</v>
      </c>
      <c r="D245" s="615">
        <v>0</v>
      </c>
      <c r="E245" s="614">
        <v>0</v>
      </c>
      <c r="F245" s="613">
        <v>0</v>
      </c>
      <c r="G245" s="615">
        <v>0</v>
      </c>
      <c r="H245" s="614">
        <v>0</v>
      </c>
      <c r="I245" s="613">
        <f>G245-H245</f>
        <v>0</v>
      </c>
      <c r="J245" s="615">
        <v>0</v>
      </c>
      <c r="K245" s="614"/>
      <c r="L245" s="613">
        <v>1077000</v>
      </c>
      <c r="M245" s="606"/>
    </row>
    <row r="246" spans="1:13" s="644" customFormat="1" ht="22.5" customHeight="1">
      <c r="A246" s="789"/>
      <c r="B246" s="797" t="s">
        <v>434</v>
      </c>
      <c r="C246" s="616">
        <f>D246+G246+J246+K246+L246</f>
        <v>33000</v>
      </c>
      <c r="D246" s="615">
        <v>5000</v>
      </c>
      <c r="E246" s="792">
        <v>5000</v>
      </c>
      <c r="F246" s="613">
        <v>0</v>
      </c>
      <c r="G246" s="791">
        <v>10000</v>
      </c>
      <c r="H246" s="614">
        <v>0</v>
      </c>
      <c r="I246" s="613">
        <f>G246-H246</f>
        <v>10000</v>
      </c>
      <c r="J246" s="615">
        <v>0</v>
      </c>
      <c r="K246" s="614">
        <v>0</v>
      </c>
      <c r="L246" s="613">
        <v>18000</v>
      </c>
      <c r="M246" s="788"/>
    </row>
    <row r="247" spans="1:13" s="644" customFormat="1" ht="20.25" customHeight="1" thickBot="1">
      <c r="A247" s="787"/>
      <c r="B247" s="786" t="s">
        <v>1649</v>
      </c>
      <c r="C247" s="762">
        <f t="shared" ref="C247:L247" si="50">C243-C239</f>
        <v>0</v>
      </c>
      <c r="D247" s="761">
        <f t="shared" si="50"/>
        <v>0</v>
      </c>
      <c r="E247" s="760">
        <f t="shared" si="50"/>
        <v>0</v>
      </c>
      <c r="F247" s="759">
        <f t="shared" si="50"/>
        <v>0</v>
      </c>
      <c r="G247" s="761">
        <f t="shared" si="50"/>
        <v>0</v>
      </c>
      <c r="H247" s="760">
        <f t="shared" si="50"/>
        <v>356000</v>
      </c>
      <c r="I247" s="759">
        <f t="shared" si="50"/>
        <v>-356000</v>
      </c>
      <c r="J247" s="761">
        <f t="shared" si="50"/>
        <v>-1000000</v>
      </c>
      <c r="K247" s="760">
        <f t="shared" si="50"/>
        <v>0</v>
      </c>
      <c r="L247" s="759">
        <f t="shared" si="50"/>
        <v>1000000</v>
      </c>
      <c r="M247" s="785" t="s">
        <v>1869</v>
      </c>
    </row>
    <row r="248" spans="1:13" s="644" customFormat="1" ht="21" customHeight="1">
      <c r="A248" s="796" t="s">
        <v>1893</v>
      </c>
      <c r="B248" s="795" t="s">
        <v>1653</v>
      </c>
      <c r="C248" s="743">
        <v>21103000</v>
      </c>
      <c r="D248" s="741">
        <v>100000</v>
      </c>
      <c r="E248" s="740">
        <v>0</v>
      </c>
      <c r="F248" s="739">
        <v>100000</v>
      </c>
      <c r="G248" s="741">
        <v>400000</v>
      </c>
      <c r="H248" s="740">
        <v>357174</v>
      </c>
      <c r="I248" s="739">
        <v>42826</v>
      </c>
      <c r="J248" s="741">
        <v>1000000</v>
      </c>
      <c r="K248" s="740">
        <v>0</v>
      </c>
      <c r="L248" s="739">
        <v>19603000</v>
      </c>
      <c r="M248" s="794" t="s">
        <v>1713</v>
      </c>
    </row>
    <row r="249" spans="1:13" s="644" customFormat="1" ht="21" customHeight="1">
      <c r="A249" s="789" t="s">
        <v>1892</v>
      </c>
      <c r="B249" s="664" t="s">
        <v>430</v>
      </c>
      <c r="C249" s="631">
        <v>20096000</v>
      </c>
      <c r="D249" s="629">
        <v>100000</v>
      </c>
      <c r="E249" s="614">
        <v>0</v>
      </c>
      <c r="F249" s="627">
        <v>100000</v>
      </c>
      <c r="G249" s="629">
        <v>390000</v>
      </c>
      <c r="H249" s="628">
        <v>356000</v>
      </c>
      <c r="I249" s="627">
        <v>34000</v>
      </c>
      <c r="J249" s="615">
        <v>1000000</v>
      </c>
      <c r="K249" s="614">
        <v>0</v>
      </c>
      <c r="L249" s="613">
        <v>18606000</v>
      </c>
      <c r="M249" s="788" t="s">
        <v>1861</v>
      </c>
    </row>
    <row r="250" spans="1:13" s="644" customFormat="1" ht="21" customHeight="1">
      <c r="A250" s="789" t="s">
        <v>1891</v>
      </c>
      <c r="B250" s="664" t="s">
        <v>432</v>
      </c>
      <c r="C250" s="616">
        <v>978000</v>
      </c>
      <c r="D250" s="615">
        <v>0</v>
      </c>
      <c r="E250" s="614">
        <v>0</v>
      </c>
      <c r="F250" s="613">
        <v>0</v>
      </c>
      <c r="G250" s="615">
        <v>0</v>
      </c>
      <c r="H250" s="614">
        <v>0</v>
      </c>
      <c r="I250" s="613">
        <v>0</v>
      </c>
      <c r="J250" s="615">
        <v>0</v>
      </c>
      <c r="K250" s="614">
        <v>0</v>
      </c>
      <c r="L250" s="613">
        <v>978000</v>
      </c>
      <c r="M250" s="788"/>
    </row>
    <row r="251" spans="1:13" s="644" customFormat="1" ht="21" customHeight="1">
      <c r="A251" s="789" t="s">
        <v>1890</v>
      </c>
      <c r="B251" s="793" t="s">
        <v>434</v>
      </c>
      <c r="C251" s="799">
        <v>29000</v>
      </c>
      <c r="D251" s="791">
        <v>0</v>
      </c>
      <c r="E251" s="614">
        <v>0</v>
      </c>
      <c r="F251" s="798">
        <v>0</v>
      </c>
      <c r="G251" s="615">
        <v>10000</v>
      </c>
      <c r="H251" s="792">
        <v>1174</v>
      </c>
      <c r="I251" s="798">
        <v>8826</v>
      </c>
      <c r="J251" s="615">
        <v>0</v>
      </c>
      <c r="K251" s="614">
        <v>0</v>
      </c>
      <c r="L251" s="613">
        <v>19000</v>
      </c>
      <c r="M251" s="788"/>
    </row>
    <row r="252" spans="1:13" s="644" customFormat="1" ht="21" customHeight="1">
      <c r="A252" s="789" t="s">
        <v>1889</v>
      </c>
      <c r="B252" s="624" t="s">
        <v>1651</v>
      </c>
      <c r="C252" s="623">
        <f>D252+G252+J252+K252+L252</f>
        <v>21103000</v>
      </c>
      <c r="D252" s="621">
        <f t="shared" ref="D252:L252" si="51">D253+D254+D255</f>
        <v>100000</v>
      </c>
      <c r="E252" s="620">
        <f t="shared" si="51"/>
        <v>0</v>
      </c>
      <c r="F252" s="619">
        <f t="shared" si="51"/>
        <v>100000</v>
      </c>
      <c r="G252" s="621">
        <f t="shared" si="51"/>
        <v>400000</v>
      </c>
      <c r="H252" s="620">
        <f t="shared" si="51"/>
        <v>257174</v>
      </c>
      <c r="I252" s="619">
        <f t="shared" si="51"/>
        <v>142826</v>
      </c>
      <c r="J252" s="621">
        <f t="shared" si="51"/>
        <v>200000</v>
      </c>
      <c r="K252" s="620">
        <f t="shared" si="51"/>
        <v>0</v>
      </c>
      <c r="L252" s="619">
        <f t="shared" si="51"/>
        <v>20403000</v>
      </c>
      <c r="M252" s="788"/>
    </row>
    <row r="253" spans="1:13" s="644" customFormat="1" ht="21" customHeight="1">
      <c r="A253" s="789"/>
      <c r="B253" s="664" t="s">
        <v>430</v>
      </c>
      <c r="C253" s="616">
        <f>D253+G253+J253+K253+L253</f>
        <v>20096000</v>
      </c>
      <c r="D253" s="615">
        <v>100000</v>
      </c>
      <c r="E253" s="614">
        <v>0</v>
      </c>
      <c r="F253" s="613">
        <v>100000</v>
      </c>
      <c r="G253" s="615">
        <v>390000</v>
      </c>
      <c r="H253" s="614">
        <v>256000</v>
      </c>
      <c r="I253" s="613">
        <f>G253-H253</f>
        <v>134000</v>
      </c>
      <c r="J253" s="615">
        <v>200000</v>
      </c>
      <c r="K253" s="614">
        <v>0</v>
      </c>
      <c r="L253" s="613">
        <f>18606000+800000</f>
        <v>19406000</v>
      </c>
      <c r="M253" s="606"/>
    </row>
    <row r="254" spans="1:13" s="644" customFormat="1" ht="21" customHeight="1">
      <c r="A254" s="790" t="s">
        <v>1842</v>
      </c>
      <c r="B254" s="664" t="s">
        <v>432</v>
      </c>
      <c r="C254" s="616">
        <f>D254+G254+J254+K254+L254</f>
        <v>978000</v>
      </c>
      <c r="D254" s="615">
        <v>0</v>
      </c>
      <c r="E254" s="614">
        <v>0</v>
      </c>
      <c r="F254" s="613">
        <v>0</v>
      </c>
      <c r="G254" s="615">
        <v>0</v>
      </c>
      <c r="H254" s="614">
        <v>0</v>
      </c>
      <c r="I254" s="613">
        <f>G254-H254</f>
        <v>0</v>
      </c>
      <c r="J254" s="615">
        <v>0</v>
      </c>
      <c r="K254" s="614">
        <v>0</v>
      </c>
      <c r="L254" s="613">
        <v>978000</v>
      </c>
      <c r="M254" s="606"/>
    </row>
    <row r="255" spans="1:13" s="644" customFormat="1" ht="21" customHeight="1">
      <c r="A255" s="789"/>
      <c r="B255" s="797" t="s">
        <v>434</v>
      </c>
      <c r="C255" s="616">
        <f>D255+G255+J255+K255+L255</f>
        <v>29000</v>
      </c>
      <c r="D255" s="615">
        <v>0</v>
      </c>
      <c r="E255" s="792">
        <v>0</v>
      </c>
      <c r="F255" s="613">
        <v>0</v>
      </c>
      <c r="G255" s="791">
        <v>10000</v>
      </c>
      <c r="H255" s="614">
        <v>1174</v>
      </c>
      <c r="I255" s="613">
        <f>G255-H255</f>
        <v>8826</v>
      </c>
      <c r="J255" s="615">
        <v>0</v>
      </c>
      <c r="K255" s="614">
        <v>0</v>
      </c>
      <c r="L255" s="613">
        <v>19000</v>
      </c>
      <c r="M255" s="788"/>
    </row>
    <row r="256" spans="1:13" s="644" customFormat="1" ht="21" customHeight="1" thickBot="1">
      <c r="A256" s="787"/>
      <c r="B256" s="786" t="s">
        <v>1649</v>
      </c>
      <c r="C256" s="762">
        <f t="shared" ref="C256:L256" si="52">C252-C248</f>
        <v>0</v>
      </c>
      <c r="D256" s="761">
        <f t="shared" si="52"/>
        <v>0</v>
      </c>
      <c r="E256" s="760">
        <f t="shared" si="52"/>
        <v>0</v>
      </c>
      <c r="F256" s="759">
        <f t="shared" si="52"/>
        <v>0</v>
      </c>
      <c r="G256" s="761">
        <f t="shared" si="52"/>
        <v>0</v>
      </c>
      <c r="H256" s="760">
        <f t="shared" si="52"/>
        <v>-100000</v>
      </c>
      <c r="I256" s="759">
        <f t="shared" si="52"/>
        <v>100000</v>
      </c>
      <c r="J256" s="761">
        <f t="shared" si="52"/>
        <v>-800000</v>
      </c>
      <c r="K256" s="760">
        <f t="shared" si="52"/>
        <v>0</v>
      </c>
      <c r="L256" s="759">
        <f t="shared" si="52"/>
        <v>800000</v>
      </c>
      <c r="M256" s="785" t="s">
        <v>1869</v>
      </c>
    </row>
    <row r="257" spans="1:13" s="644" customFormat="1" ht="21" customHeight="1">
      <c r="A257" s="796" t="s">
        <v>1888</v>
      </c>
      <c r="B257" s="795" t="s">
        <v>1653</v>
      </c>
      <c r="C257" s="743">
        <v>34641000</v>
      </c>
      <c r="D257" s="741">
        <v>0</v>
      </c>
      <c r="E257" s="740">
        <v>0</v>
      </c>
      <c r="F257" s="739">
        <v>0</v>
      </c>
      <c r="G257" s="741">
        <v>100000</v>
      </c>
      <c r="H257" s="740">
        <v>0</v>
      </c>
      <c r="I257" s="739">
        <v>100000</v>
      </c>
      <c r="J257" s="741">
        <v>1000000</v>
      </c>
      <c r="K257" s="740">
        <v>0</v>
      </c>
      <c r="L257" s="739">
        <v>33541000</v>
      </c>
      <c r="M257" s="794" t="s">
        <v>1713</v>
      </c>
    </row>
    <row r="258" spans="1:13" s="644" customFormat="1" ht="21" customHeight="1">
      <c r="A258" s="789" t="s">
        <v>1887</v>
      </c>
      <c r="B258" s="664" t="s">
        <v>430</v>
      </c>
      <c r="C258" s="631">
        <v>33179000</v>
      </c>
      <c r="D258" s="629">
        <v>0</v>
      </c>
      <c r="E258" s="614">
        <v>0</v>
      </c>
      <c r="F258" s="627">
        <v>0</v>
      </c>
      <c r="G258" s="629">
        <v>90000</v>
      </c>
      <c r="H258" s="628">
        <v>0</v>
      </c>
      <c r="I258" s="627">
        <v>90000</v>
      </c>
      <c r="J258" s="615">
        <v>1000000</v>
      </c>
      <c r="K258" s="614">
        <v>0</v>
      </c>
      <c r="L258" s="613">
        <v>32089000</v>
      </c>
      <c r="M258" s="788" t="s">
        <v>1861</v>
      </c>
    </row>
    <row r="259" spans="1:13" s="644" customFormat="1" ht="21" customHeight="1">
      <c r="A259" s="789" t="s">
        <v>1886</v>
      </c>
      <c r="B259" s="664" t="s">
        <v>432</v>
      </c>
      <c r="C259" s="616">
        <v>1414000</v>
      </c>
      <c r="D259" s="615">
        <v>0</v>
      </c>
      <c r="E259" s="614">
        <v>0</v>
      </c>
      <c r="F259" s="613">
        <v>0</v>
      </c>
      <c r="G259" s="615">
        <v>0</v>
      </c>
      <c r="H259" s="614">
        <v>0</v>
      </c>
      <c r="I259" s="613">
        <v>0</v>
      </c>
      <c r="J259" s="615">
        <v>0</v>
      </c>
      <c r="K259" s="614">
        <v>0</v>
      </c>
      <c r="L259" s="613">
        <v>1414000</v>
      </c>
      <c r="M259" s="788"/>
    </row>
    <row r="260" spans="1:13" s="644" customFormat="1" ht="21" customHeight="1">
      <c r="A260" s="789" t="s">
        <v>1885</v>
      </c>
      <c r="B260" s="793" t="s">
        <v>434</v>
      </c>
      <c r="C260" s="799">
        <v>48000</v>
      </c>
      <c r="D260" s="791">
        <v>0</v>
      </c>
      <c r="E260" s="614">
        <v>0</v>
      </c>
      <c r="F260" s="798">
        <v>0</v>
      </c>
      <c r="G260" s="791">
        <v>10000</v>
      </c>
      <c r="H260" s="792">
        <v>0</v>
      </c>
      <c r="I260" s="798">
        <v>10000</v>
      </c>
      <c r="J260" s="615">
        <v>0</v>
      </c>
      <c r="K260" s="614">
        <v>0</v>
      </c>
      <c r="L260" s="613">
        <v>38000</v>
      </c>
      <c r="M260" s="788"/>
    </row>
    <row r="261" spans="1:13" s="644" customFormat="1" ht="21" customHeight="1">
      <c r="A261" s="789" t="s">
        <v>1884</v>
      </c>
      <c r="B261" s="624" t="s">
        <v>1651</v>
      </c>
      <c r="C261" s="623">
        <f>D261+G261+J261+K261+L261</f>
        <v>34641000</v>
      </c>
      <c r="D261" s="621">
        <f t="shared" ref="D261:L261" si="53">D262+D263+D264</f>
        <v>0</v>
      </c>
      <c r="E261" s="620">
        <f t="shared" si="53"/>
        <v>0</v>
      </c>
      <c r="F261" s="619">
        <f t="shared" si="53"/>
        <v>0</v>
      </c>
      <c r="G261" s="621">
        <f t="shared" si="53"/>
        <v>100000</v>
      </c>
      <c r="H261" s="620">
        <f t="shared" si="53"/>
        <v>0</v>
      </c>
      <c r="I261" s="619">
        <f t="shared" si="53"/>
        <v>100000</v>
      </c>
      <c r="J261" s="621">
        <f t="shared" si="53"/>
        <v>200000</v>
      </c>
      <c r="K261" s="620">
        <f t="shared" si="53"/>
        <v>0</v>
      </c>
      <c r="L261" s="619">
        <f t="shared" si="53"/>
        <v>34341000</v>
      </c>
      <c r="M261" s="788"/>
    </row>
    <row r="262" spans="1:13" s="644" customFormat="1" ht="21" customHeight="1">
      <c r="A262" s="789"/>
      <c r="B262" s="664" t="s">
        <v>430</v>
      </c>
      <c r="C262" s="616">
        <f>D262+G262+J262+K262+L262</f>
        <v>33179000</v>
      </c>
      <c r="D262" s="615">
        <v>0</v>
      </c>
      <c r="E262" s="614">
        <v>0</v>
      </c>
      <c r="F262" s="613">
        <v>0</v>
      </c>
      <c r="G262" s="615">
        <v>90000</v>
      </c>
      <c r="H262" s="614">
        <v>0</v>
      </c>
      <c r="I262" s="613">
        <f>G262-H262</f>
        <v>90000</v>
      </c>
      <c r="J262" s="615">
        <v>200000</v>
      </c>
      <c r="K262" s="614">
        <v>0</v>
      </c>
      <c r="L262" s="613">
        <f>32089000+800000</f>
        <v>32889000</v>
      </c>
      <c r="M262" s="606"/>
    </row>
    <row r="263" spans="1:13" s="644" customFormat="1" ht="21" customHeight="1">
      <c r="A263" s="790" t="s">
        <v>1650</v>
      </c>
      <c r="B263" s="664" t="s">
        <v>432</v>
      </c>
      <c r="C263" s="616">
        <f>D263+G263+J263+K263+L263</f>
        <v>1414000</v>
      </c>
      <c r="D263" s="615">
        <v>0</v>
      </c>
      <c r="E263" s="614">
        <v>0</v>
      </c>
      <c r="F263" s="613">
        <v>0</v>
      </c>
      <c r="G263" s="615">
        <v>0</v>
      </c>
      <c r="H263" s="614">
        <v>0</v>
      </c>
      <c r="I263" s="613">
        <f>G263-H263</f>
        <v>0</v>
      </c>
      <c r="J263" s="615"/>
      <c r="K263" s="614">
        <v>0</v>
      </c>
      <c r="L263" s="613">
        <v>1414000</v>
      </c>
      <c r="M263" s="606"/>
    </row>
    <row r="264" spans="1:13" s="644" customFormat="1" ht="21" customHeight="1">
      <c r="A264" s="789"/>
      <c r="B264" s="797" t="s">
        <v>434</v>
      </c>
      <c r="C264" s="616">
        <f>D264+G264+J264+K264+L264</f>
        <v>48000</v>
      </c>
      <c r="D264" s="615">
        <v>0</v>
      </c>
      <c r="E264" s="792">
        <v>0</v>
      </c>
      <c r="F264" s="613">
        <v>0</v>
      </c>
      <c r="G264" s="791">
        <v>10000</v>
      </c>
      <c r="H264" s="614">
        <v>0</v>
      </c>
      <c r="I264" s="613">
        <f>G264-H264</f>
        <v>10000</v>
      </c>
      <c r="J264" s="615"/>
      <c r="K264" s="614">
        <v>0</v>
      </c>
      <c r="L264" s="613">
        <v>38000</v>
      </c>
      <c r="M264" s="788"/>
    </row>
    <row r="265" spans="1:13" s="644" customFormat="1" ht="21" customHeight="1" thickBot="1">
      <c r="A265" s="787"/>
      <c r="B265" s="786" t="s">
        <v>1649</v>
      </c>
      <c r="C265" s="762">
        <f t="shared" ref="C265:L265" si="54">C261-C257</f>
        <v>0</v>
      </c>
      <c r="D265" s="761">
        <f t="shared" si="54"/>
        <v>0</v>
      </c>
      <c r="E265" s="760">
        <f t="shared" si="54"/>
        <v>0</v>
      </c>
      <c r="F265" s="759">
        <f t="shared" si="54"/>
        <v>0</v>
      </c>
      <c r="G265" s="761">
        <f t="shared" si="54"/>
        <v>0</v>
      </c>
      <c r="H265" s="760">
        <f t="shared" si="54"/>
        <v>0</v>
      </c>
      <c r="I265" s="759">
        <f t="shared" si="54"/>
        <v>0</v>
      </c>
      <c r="J265" s="761">
        <f t="shared" si="54"/>
        <v>-800000</v>
      </c>
      <c r="K265" s="760">
        <f t="shared" si="54"/>
        <v>0</v>
      </c>
      <c r="L265" s="759">
        <f t="shared" si="54"/>
        <v>800000</v>
      </c>
      <c r="M265" s="785" t="s">
        <v>1869</v>
      </c>
    </row>
    <row r="266" spans="1:13" s="644" customFormat="1" ht="21" customHeight="1">
      <c r="A266" s="796" t="s">
        <v>1883</v>
      </c>
      <c r="B266" s="795" t="s">
        <v>1653</v>
      </c>
      <c r="C266" s="743">
        <v>19930000</v>
      </c>
      <c r="D266" s="741">
        <v>0</v>
      </c>
      <c r="E266" s="740">
        <v>0</v>
      </c>
      <c r="F266" s="739">
        <v>0</v>
      </c>
      <c r="G266" s="741">
        <v>0</v>
      </c>
      <c r="H266" s="740">
        <v>0</v>
      </c>
      <c r="I266" s="739">
        <v>0</v>
      </c>
      <c r="J266" s="741">
        <v>1000000</v>
      </c>
      <c r="K266" s="740">
        <v>0</v>
      </c>
      <c r="L266" s="739">
        <v>18930000</v>
      </c>
      <c r="M266" s="794" t="s">
        <v>1713</v>
      </c>
    </row>
    <row r="267" spans="1:13" s="644" customFormat="1" ht="21" customHeight="1">
      <c r="A267" s="789" t="s">
        <v>1882</v>
      </c>
      <c r="B267" s="664" t="s">
        <v>430</v>
      </c>
      <c r="C267" s="616">
        <v>18993000</v>
      </c>
      <c r="D267" s="615">
        <v>0</v>
      </c>
      <c r="E267" s="614">
        <v>0</v>
      </c>
      <c r="F267" s="613">
        <v>0</v>
      </c>
      <c r="G267" s="615">
        <v>0</v>
      </c>
      <c r="H267" s="614">
        <v>0</v>
      </c>
      <c r="I267" s="613">
        <v>0</v>
      </c>
      <c r="J267" s="615">
        <v>970000</v>
      </c>
      <c r="K267" s="614">
        <v>0</v>
      </c>
      <c r="L267" s="613">
        <v>18023000</v>
      </c>
      <c r="M267" s="788" t="s">
        <v>1861</v>
      </c>
    </row>
    <row r="268" spans="1:13" s="644" customFormat="1" ht="21" customHeight="1">
      <c r="A268" s="789" t="s">
        <v>1881</v>
      </c>
      <c r="B268" s="664" t="s">
        <v>432</v>
      </c>
      <c r="C268" s="616">
        <v>910000</v>
      </c>
      <c r="D268" s="615">
        <v>0</v>
      </c>
      <c r="E268" s="614">
        <v>0</v>
      </c>
      <c r="F268" s="613">
        <v>0</v>
      </c>
      <c r="G268" s="615">
        <v>0</v>
      </c>
      <c r="H268" s="614">
        <v>0</v>
      </c>
      <c r="I268" s="613">
        <v>0</v>
      </c>
      <c r="J268" s="615"/>
      <c r="K268" s="614">
        <v>0</v>
      </c>
      <c r="L268" s="613">
        <v>910000</v>
      </c>
      <c r="M268" s="788"/>
    </row>
    <row r="269" spans="1:13" s="644" customFormat="1" ht="21" customHeight="1">
      <c r="A269" s="789" t="s">
        <v>1880</v>
      </c>
      <c r="B269" s="793" t="s">
        <v>434</v>
      </c>
      <c r="C269" s="616">
        <v>27000</v>
      </c>
      <c r="D269" s="615">
        <v>0</v>
      </c>
      <c r="E269" s="792">
        <v>0</v>
      </c>
      <c r="F269" s="613">
        <v>0</v>
      </c>
      <c r="G269" s="615">
        <v>0</v>
      </c>
      <c r="H269" s="614">
        <v>0</v>
      </c>
      <c r="I269" s="613">
        <v>0</v>
      </c>
      <c r="J269" s="615">
        <v>30000</v>
      </c>
      <c r="K269" s="614">
        <v>0</v>
      </c>
      <c r="L269" s="613">
        <v>-3000</v>
      </c>
      <c r="M269" s="788"/>
    </row>
    <row r="270" spans="1:13" s="644" customFormat="1" ht="21" customHeight="1">
      <c r="A270" s="789" t="s">
        <v>1870</v>
      </c>
      <c r="B270" s="624" t="s">
        <v>1651</v>
      </c>
      <c r="C270" s="623">
        <f>D270+G270+J270+K270+L270</f>
        <v>19930000</v>
      </c>
      <c r="D270" s="621">
        <f t="shared" ref="D270:L270" si="55">D271+D272+D273</f>
        <v>0</v>
      </c>
      <c r="E270" s="620">
        <f t="shared" si="55"/>
        <v>0</v>
      </c>
      <c r="F270" s="619">
        <f t="shared" si="55"/>
        <v>0</v>
      </c>
      <c r="G270" s="621">
        <f t="shared" si="55"/>
        <v>0</v>
      </c>
      <c r="H270" s="620">
        <f t="shared" si="55"/>
        <v>0</v>
      </c>
      <c r="I270" s="619">
        <f t="shared" si="55"/>
        <v>0</v>
      </c>
      <c r="J270" s="621">
        <f t="shared" si="55"/>
        <v>230000</v>
      </c>
      <c r="K270" s="620">
        <f t="shared" si="55"/>
        <v>0</v>
      </c>
      <c r="L270" s="619">
        <f t="shared" si="55"/>
        <v>19700000</v>
      </c>
      <c r="M270" s="788"/>
    </row>
    <row r="271" spans="1:13" s="644" customFormat="1" ht="21" customHeight="1">
      <c r="A271" s="789"/>
      <c r="B271" s="664" t="s">
        <v>430</v>
      </c>
      <c r="C271" s="616">
        <f>D271+G271+J271+K271+L271</f>
        <v>18993000</v>
      </c>
      <c r="D271" s="615">
        <v>0</v>
      </c>
      <c r="E271" s="614">
        <v>0</v>
      </c>
      <c r="F271" s="613">
        <v>0</v>
      </c>
      <c r="G271" s="615">
        <v>0</v>
      </c>
      <c r="H271" s="614">
        <v>0</v>
      </c>
      <c r="I271" s="613">
        <f>G271-H271</f>
        <v>0</v>
      </c>
      <c r="J271" s="615">
        <v>200000</v>
      </c>
      <c r="K271" s="614">
        <v>0</v>
      </c>
      <c r="L271" s="613">
        <f>18023000+770000</f>
        <v>18793000</v>
      </c>
      <c r="M271" s="606"/>
    </row>
    <row r="272" spans="1:13" s="644" customFormat="1" ht="21" customHeight="1">
      <c r="A272" s="790" t="s">
        <v>1650</v>
      </c>
      <c r="B272" s="664" t="s">
        <v>432</v>
      </c>
      <c r="C272" s="616">
        <f>D272+G272+J272+K272+L272</f>
        <v>910000</v>
      </c>
      <c r="D272" s="615">
        <v>0</v>
      </c>
      <c r="E272" s="614">
        <v>0</v>
      </c>
      <c r="F272" s="613">
        <v>0</v>
      </c>
      <c r="G272" s="615">
        <v>0</v>
      </c>
      <c r="H272" s="614">
        <v>0</v>
      </c>
      <c r="I272" s="613">
        <f>G272-H272</f>
        <v>0</v>
      </c>
      <c r="J272" s="615">
        <v>0</v>
      </c>
      <c r="K272" s="614">
        <v>0</v>
      </c>
      <c r="L272" s="613">
        <v>910000</v>
      </c>
      <c r="M272" s="606"/>
    </row>
    <row r="273" spans="1:13" s="644" customFormat="1" ht="21" customHeight="1">
      <c r="A273" s="789"/>
      <c r="B273" s="797" t="s">
        <v>434</v>
      </c>
      <c r="C273" s="616">
        <f>D273+G273+J273+K273+L273</f>
        <v>27000</v>
      </c>
      <c r="D273" s="615">
        <v>0</v>
      </c>
      <c r="E273" s="792">
        <v>0</v>
      </c>
      <c r="F273" s="613">
        <v>0</v>
      </c>
      <c r="G273" s="791">
        <v>0</v>
      </c>
      <c r="H273" s="614">
        <v>0</v>
      </c>
      <c r="I273" s="613">
        <f>G273-H273</f>
        <v>0</v>
      </c>
      <c r="J273" s="615">
        <v>30000</v>
      </c>
      <c r="K273" s="614">
        <v>0</v>
      </c>
      <c r="L273" s="613">
        <v>-3000</v>
      </c>
      <c r="M273" s="788"/>
    </row>
    <row r="274" spans="1:13" s="644" customFormat="1" ht="21" customHeight="1" thickBot="1">
      <c r="A274" s="787"/>
      <c r="B274" s="786" t="s">
        <v>1649</v>
      </c>
      <c r="C274" s="762">
        <f t="shared" ref="C274:L274" si="56">C270-C266</f>
        <v>0</v>
      </c>
      <c r="D274" s="761">
        <f t="shared" si="56"/>
        <v>0</v>
      </c>
      <c r="E274" s="760">
        <f t="shared" si="56"/>
        <v>0</v>
      </c>
      <c r="F274" s="759">
        <f t="shared" si="56"/>
        <v>0</v>
      </c>
      <c r="G274" s="761">
        <f t="shared" si="56"/>
        <v>0</v>
      </c>
      <c r="H274" s="760">
        <f t="shared" si="56"/>
        <v>0</v>
      </c>
      <c r="I274" s="759">
        <f t="shared" si="56"/>
        <v>0</v>
      </c>
      <c r="J274" s="761">
        <f t="shared" si="56"/>
        <v>-770000</v>
      </c>
      <c r="K274" s="760">
        <f t="shared" si="56"/>
        <v>0</v>
      </c>
      <c r="L274" s="759">
        <f t="shared" si="56"/>
        <v>770000</v>
      </c>
      <c r="M274" s="785" t="s">
        <v>1869</v>
      </c>
    </row>
    <row r="275" spans="1:13" s="644" customFormat="1" ht="21" customHeight="1">
      <c r="A275" s="796" t="s">
        <v>1879</v>
      </c>
      <c r="B275" s="795" t="s">
        <v>1653</v>
      </c>
      <c r="C275" s="743">
        <v>23000000</v>
      </c>
      <c r="D275" s="741">
        <v>100000</v>
      </c>
      <c r="E275" s="740">
        <v>1460</v>
      </c>
      <c r="F275" s="739">
        <v>98540</v>
      </c>
      <c r="G275" s="741">
        <v>500000</v>
      </c>
      <c r="H275" s="740">
        <v>0</v>
      </c>
      <c r="I275" s="739">
        <v>500000</v>
      </c>
      <c r="J275" s="741">
        <v>750000</v>
      </c>
      <c r="K275" s="740">
        <v>0</v>
      </c>
      <c r="L275" s="739">
        <v>21650000</v>
      </c>
      <c r="M275" s="794" t="s">
        <v>1713</v>
      </c>
    </row>
    <row r="276" spans="1:13" s="644" customFormat="1" ht="21" customHeight="1">
      <c r="A276" s="789" t="s">
        <v>1878</v>
      </c>
      <c r="B276" s="664" t="s">
        <v>430</v>
      </c>
      <c r="C276" s="631">
        <v>22345000</v>
      </c>
      <c r="D276" s="629">
        <v>90000</v>
      </c>
      <c r="E276" s="614">
        <v>0</v>
      </c>
      <c r="F276" s="627">
        <v>90000</v>
      </c>
      <c r="G276" s="615">
        <v>500000</v>
      </c>
      <c r="H276" s="614">
        <v>0</v>
      </c>
      <c r="I276" s="613">
        <v>500000</v>
      </c>
      <c r="J276" s="615">
        <v>750000</v>
      </c>
      <c r="K276" s="614">
        <v>0</v>
      </c>
      <c r="L276" s="613">
        <v>21005000</v>
      </c>
      <c r="M276" s="788" t="s">
        <v>1861</v>
      </c>
    </row>
    <row r="277" spans="1:13" s="644" customFormat="1" ht="21" customHeight="1">
      <c r="A277" s="789" t="s">
        <v>1877</v>
      </c>
      <c r="B277" s="664" t="s">
        <v>432</v>
      </c>
      <c r="C277" s="616">
        <v>634000</v>
      </c>
      <c r="D277" s="615">
        <v>0</v>
      </c>
      <c r="E277" s="614">
        <v>0</v>
      </c>
      <c r="F277" s="613">
        <v>0</v>
      </c>
      <c r="G277" s="615">
        <v>0</v>
      </c>
      <c r="H277" s="614">
        <v>0</v>
      </c>
      <c r="I277" s="613">
        <v>0</v>
      </c>
      <c r="J277" s="615">
        <v>0</v>
      </c>
      <c r="K277" s="614">
        <v>0</v>
      </c>
      <c r="L277" s="613">
        <v>634000</v>
      </c>
      <c r="M277" s="788"/>
    </row>
    <row r="278" spans="1:13" s="644" customFormat="1" ht="21" customHeight="1">
      <c r="A278" s="789" t="s">
        <v>1876</v>
      </c>
      <c r="B278" s="793" t="s">
        <v>434</v>
      </c>
      <c r="C278" s="616">
        <v>21000</v>
      </c>
      <c r="D278" s="615">
        <v>10000</v>
      </c>
      <c r="E278" s="792">
        <v>1460</v>
      </c>
      <c r="F278" s="798">
        <v>8540</v>
      </c>
      <c r="G278" s="615">
        <v>0</v>
      </c>
      <c r="H278" s="614">
        <v>0</v>
      </c>
      <c r="I278" s="613">
        <v>0</v>
      </c>
      <c r="J278" s="615">
        <v>0</v>
      </c>
      <c r="K278" s="614">
        <v>0</v>
      </c>
      <c r="L278" s="613">
        <v>11000</v>
      </c>
      <c r="M278" s="788"/>
    </row>
    <row r="279" spans="1:13" s="644" customFormat="1" ht="21" customHeight="1">
      <c r="A279" s="789" t="s">
        <v>1875</v>
      </c>
      <c r="B279" s="624" t="s">
        <v>1651</v>
      </c>
      <c r="C279" s="623">
        <f>D279+G279+J279+K279+L279</f>
        <v>23000000</v>
      </c>
      <c r="D279" s="621">
        <f t="shared" ref="D279:L279" si="57">D280+D281+D282</f>
        <v>100000</v>
      </c>
      <c r="E279" s="620">
        <f t="shared" si="57"/>
        <v>1460</v>
      </c>
      <c r="F279" s="619">
        <f t="shared" si="57"/>
        <v>98540</v>
      </c>
      <c r="G279" s="621">
        <f t="shared" si="57"/>
        <v>500000</v>
      </c>
      <c r="H279" s="620">
        <f t="shared" si="57"/>
        <v>304494</v>
      </c>
      <c r="I279" s="619">
        <f t="shared" si="57"/>
        <v>195506</v>
      </c>
      <c r="J279" s="621">
        <f t="shared" si="57"/>
        <v>600000</v>
      </c>
      <c r="K279" s="620">
        <f t="shared" si="57"/>
        <v>0</v>
      </c>
      <c r="L279" s="619">
        <f t="shared" si="57"/>
        <v>21800000</v>
      </c>
      <c r="M279" s="788"/>
    </row>
    <row r="280" spans="1:13" s="644" customFormat="1" ht="21" customHeight="1">
      <c r="A280" s="789"/>
      <c r="B280" s="664" t="s">
        <v>430</v>
      </c>
      <c r="C280" s="616">
        <f>D280+G280+J280+K280+L280</f>
        <v>22345000</v>
      </c>
      <c r="D280" s="615">
        <v>90000</v>
      </c>
      <c r="E280" s="614">
        <v>0</v>
      </c>
      <c r="F280" s="613">
        <v>90000</v>
      </c>
      <c r="G280" s="615">
        <v>500000</v>
      </c>
      <c r="H280" s="614">
        <v>304494</v>
      </c>
      <c r="I280" s="613">
        <f>G280-H280</f>
        <v>195506</v>
      </c>
      <c r="J280" s="615">
        <v>600000</v>
      </c>
      <c r="K280" s="614">
        <v>0</v>
      </c>
      <c r="L280" s="613">
        <f>21005000+150000</f>
        <v>21155000</v>
      </c>
      <c r="M280" s="606"/>
    </row>
    <row r="281" spans="1:13" s="644" customFormat="1" ht="21" customHeight="1">
      <c r="A281" s="790" t="s">
        <v>1650</v>
      </c>
      <c r="B281" s="664" t="s">
        <v>432</v>
      </c>
      <c r="C281" s="616">
        <f>D281+G281+J281+K281+L281</f>
        <v>634000</v>
      </c>
      <c r="D281" s="615">
        <v>0</v>
      </c>
      <c r="E281" s="614">
        <v>0</v>
      </c>
      <c r="F281" s="613">
        <v>0</v>
      </c>
      <c r="G281" s="615">
        <v>0</v>
      </c>
      <c r="H281" s="614">
        <v>0</v>
      </c>
      <c r="I281" s="613">
        <f>G281-H281</f>
        <v>0</v>
      </c>
      <c r="J281" s="615">
        <v>0</v>
      </c>
      <c r="K281" s="614">
        <v>0</v>
      </c>
      <c r="L281" s="613">
        <v>634000</v>
      </c>
      <c r="M281" s="606"/>
    </row>
    <row r="282" spans="1:13" s="644" customFormat="1" ht="21" customHeight="1">
      <c r="A282" s="789"/>
      <c r="B282" s="797" t="s">
        <v>434</v>
      </c>
      <c r="C282" s="616">
        <f>D282+G282+J282+K282+L282</f>
        <v>21000</v>
      </c>
      <c r="D282" s="615">
        <v>10000</v>
      </c>
      <c r="E282" s="792">
        <v>1460</v>
      </c>
      <c r="F282" s="613">
        <v>8540</v>
      </c>
      <c r="G282" s="791">
        <v>0</v>
      </c>
      <c r="H282" s="614">
        <v>0</v>
      </c>
      <c r="I282" s="613">
        <f>G282-H282</f>
        <v>0</v>
      </c>
      <c r="J282" s="615">
        <v>0</v>
      </c>
      <c r="K282" s="614">
        <v>0</v>
      </c>
      <c r="L282" s="613">
        <v>11000</v>
      </c>
      <c r="M282" s="788"/>
    </row>
    <row r="283" spans="1:13" s="644" customFormat="1" ht="21" customHeight="1" thickBot="1">
      <c r="A283" s="787"/>
      <c r="B283" s="786" t="s">
        <v>1649</v>
      </c>
      <c r="C283" s="762">
        <f t="shared" ref="C283:L283" si="58">C279-C275</f>
        <v>0</v>
      </c>
      <c r="D283" s="761">
        <f t="shared" si="58"/>
        <v>0</v>
      </c>
      <c r="E283" s="760">
        <f t="shared" si="58"/>
        <v>0</v>
      </c>
      <c r="F283" s="759">
        <f t="shared" si="58"/>
        <v>0</v>
      </c>
      <c r="G283" s="761">
        <f t="shared" si="58"/>
        <v>0</v>
      </c>
      <c r="H283" s="760">
        <f t="shared" si="58"/>
        <v>304494</v>
      </c>
      <c r="I283" s="759">
        <f t="shared" si="58"/>
        <v>-304494</v>
      </c>
      <c r="J283" s="761">
        <f t="shared" si="58"/>
        <v>-150000</v>
      </c>
      <c r="K283" s="760">
        <f t="shared" si="58"/>
        <v>0</v>
      </c>
      <c r="L283" s="759">
        <f t="shared" si="58"/>
        <v>150000</v>
      </c>
      <c r="M283" s="785" t="s">
        <v>1869</v>
      </c>
    </row>
    <row r="284" spans="1:13" s="644" customFormat="1" ht="21" customHeight="1">
      <c r="A284" s="796" t="s">
        <v>1874</v>
      </c>
      <c r="B284" s="795" t="s">
        <v>1653</v>
      </c>
      <c r="C284" s="743">
        <v>28365000</v>
      </c>
      <c r="D284" s="741">
        <v>0</v>
      </c>
      <c r="E284" s="740">
        <v>0</v>
      </c>
      <c r="F284" s="739">
        <v>0</v>
      </c>
      <c r="G284" s="741">
        <v>0</v>
      </c>
      <c r="H284" s="740">
        <v>0</v>
      </c>
      <c r="I284" s="739">
        <v>0</v>
      </c>
      <c r="J284" s="741">
        <v>200000</v>
      </c>
      <c r="K284" s="740">
        <v>0</v>
      </c>
      <c r="L284" s="739">
        <v>28165000</v>
      </c>
      <c r="M284" s="794" t="s">
        <v>1713</v>
      </c>
    </row>
    <row r="285" spans="1:13" s="644" customFormat="1" ht="21" customHeight="1">
      <c r="A285" s="789" t="s">
        <v>1873</v>
      </c>
      <c r="B285" s="664" t="s">
        <v>430</v>
      </c>
      <c r="C285" s="631">
        <v>28365000</v>
      </c>
      <c r="D285" s="629">
        <v>0</v>
      </c>
      <c r="E285" s="614">
        <v>0</v>
      </c>
      <c r="F285" s="613">
        <v>0</v>
      </c>
      <c r="G285" s="615">
        <v>0</v>
      </c>
      <c r="H285" s="614">
        <v>0</v>
      </c>
      <c r="I285" s="613">
        <v>0</v>
      </c>
      <c r="J285" s="615">
        <v>200000</v>
      </c>
      <c r="K285" s="614">
        <v>0</v>
      </c>
      <c r="L285" s="613">
        <v>28165000</v>
      </c>
      <c r="M285" s="788" t="s">
        <v>1861</v>
      </c>
    </row>
    <row r="286" spans="1:13" s="644" customFormat="1" ht="21" customHeight="1">
      <c r="A286" s="789" t="s">
        <v>1872</v>
      </c>
      <c r="B286" s="664" t="s">
        <v>432</v>
      </c>
      <c r="C286" s="616"/>
      <c r="D286" s="615">
        <v>0</v>
      </c>
      <c r="E286" s="614">
        <v>0</v>
      </c>
      <c r="F286" s="613">
        <v>0</v>
      </c>
      <c r="G286" s="615">
        <v>0</v>
      </c>
      <c r="H286" s="614">
        <v>0</v>
      </c>
      <c r="I286" s="613">
        <v>0</v>
      </c>
      <c r="J286" s="615">
        <v>0</v>
      </c>
      <c r="K286" s="614">
        <v>0</v>
      </c>
      <c r="L286" s="613">
        <v>0</v>
      </c>
      <c r="M286" s="788"/>
    </row>
    <row r="287" spans="1:13" s="644" customFormat="1" ht="21" customHeight="1">
      <c r="A287" s="789" t="s">
        <v>1871</v>
      </c>
      <c r="B287" s="793" t="s">
        <v>434</v>
      </c>
      <c r="C287" s="616"/>
      <c r="D287" s="615">
        <v>0</v>
      </c>
      <c r="E287" s="792">
        <v>0</v>
      </c>
      <c r="F287" s="613">
        <v>0</v>
      </c>
      <c r="G287" s="615">
        <v>0</v>
      </c>
      <c r="H287" s="614">
        <v>0</v>
      </c>
      <c r="I287" s="613">
        <v>0</v>
      </c>
      <c r="J287" s="615">
        <v>0</v>
      </c>
      <c r="K287" s="614">
        <v>0</v>
      </c>
      <c r="L287" s="613">
        <v>0</v>
      </c>
      <c r="M287" s="788"/>
    </row>
    <row r="288" spans="1:13" s="644" customFormat="1" ht="21" customHeight="1">
      <c r="A288" s="789" t="s">
        <v>1870</v>
      </c>
      <c r="B288" s="624" t="s">
        <v>1651</v>
      </c>
      <c r="C288" s="623">
        <f>D288+G288+J288+K288+L288</f>
        <v>28365000</v>
      </c>
      <c r="D288" s="621">
        <f t="shared" ref="D288:L288" si="59">D289+D290+D291</f>
        <v>0</v>
      </c>
      <c r="E288" s="620">
        <f t="shared" si="59"/>
        <v>0</v>
      </c>
      <c r="F288" s="619">
        <f t="shared" si="59"/>
        <v>0</v>
      </c>
      <c r="G288" s="621">
        <f t="shared" si="59"/>
        <v>0</v>
      </c>
      <c r="H288" s="620">
        <f t="shared" si="59"/>
        <v>0</v>
      </c>
      <c r="I288" s="619">
        <f t="shared" si="59"/>
        <v>0</v>
      </c>
      <c r="J288" s="621">
        <f t="shared" si="59"/>
        <v>100000</v>
      </c>
      <c r="K288" s="620">
        <f t="shared" si="59"/>
        <v>0</v>
      </c>
      <c r="L288" s="619">
        <f t="shared" si="59"/>
        <v>28265000</v>
      </c>
      <c r="M288" s="788"/>
    </row>
    <row r="289" spans="1:13" s="644" customFormat="1" ht="21" customHeight="1">
      <c r="A289" s="789"/>
      <c r="B289" s="664" t="s">
        <v>430</v>
      </c>
      <c r="C289" s="616">
        <f>D289+G289+J289+K289+L289</f>
        <v>28365000</v>
      </c>
      <c r="D289" s="615">
        <v>0</v>
      </c>
      <c r="E289" s="614">
        <v>0</v>
      </c>
      <c r="F289" s="613">
        <v>0</v>
      </c>
      <c r="G289" s="615">
        <v>0</v>
      </c>
      <c r="H289" s="614">
        <v>0</v>
      </c>
      <c r="I289" s="613">
        <f>G289-H289</f>
        <v>0</v>
      </c>
      <c r="J289" s="615">
        <v>100000</v>
      </c>
      <c r="K289" s="614">
        <v>0</v>
      </c>
      <c r="L289" s="613">
        <f>28165000+100000</f>
        <v>28265000</v>
      </c>
      <c r="M289" s="606"/>
    </row>
    <row r="290" spans="1:13" s="644" customFormat="1" ht="21" customHeight="1">
      <c r="A290" s="790" t="s">
        <v>1650</v>
      </c>
      <c r="B290" s="664" t="s">
        <v>432</v>
      </c>
      <c r="C290" s="616">
        <f>D290+G290+J290+K290+L290</f>
        <v>0</v>
      </c>
      <c r="D290" s="615">
        <v>0</v>
      </c>
      <c r="E290" s="614">
        <v>0</v>
      </c>
      <c r="F290" s="613">
        <v>0</v>
      </c>
      <c r="G290" s="615">
        <v>0</v>
      </c>
      <c r="H290" s="614">
        <v>0</v>
      </c>
      <c r="I290" s="613">
        <f>G290-H290</f>
        <v>0</v>
      </c>
      <c r="J290" s="615">
        <v>0</v>
      </c>
      <c r="K290" s="614">
        <v>0</v>
      </c>
      <c r="L290" s="613">
        <v>0</v>
      </c>
      <c r="M290" s="606"/>
    </row>
    <row r="291" spans="1:13" s="644" customFormat="1" ht="21" customHeight="1">
      <c r="A291" s="789"/>
      <c r="B291" s="797" t="s">
        <v>434</v>
      </c>
      <c r="C291" s="616">
        <f>D291+G291+J291+K291+L291</f>
        <v>0</v>
      </c>
      <c r="D291" s="615">
        <v>0</v>
      </c>
      <c r="E291" s="792">
        <v>0</v>
      </c>
      <c r="F291" s="613">
        <v>0</v>
      </c>
      <c r="G291" s="791">
        <v>0</v>
      </c>
      <c r="H291" s="614">
        <v>0</v>
      </c>
      <c r="I291" s="613">
        <f>G291-H291</f>
        <v>0</v>
      </c>
      <c r="J291" s="615">
        <v>0</v>
      </c>
      <c r="K291" s="614">
        <v>0</v>
      </c>
      <c r="L291" s="613">
        <v>0</v>
      </c>
      <c r="M291" s="788"/>
    </row>
    <row r="292" spans="1:13" s="644" customFormat="1" ht="21" customHeight="1" thickBot="1">
      <c r="A292" s="787"/>
      <c r="B292" s="786" t="s">
        <v>1649</v>
      </c>
      <c r="C292" s="762">
        <f t="shared" ref="C292:L292" si="60">C288-C284</f>
        <v>0</v>
      </c>
      <c r="D292" s="761">
        <f t="shared" si="60"/>
        <v>0</v>
      </c>
      <c r="E292" s="760">
        <f t="shared" si="60"/>
        <v>0</v>
      </c>
      <c r="F292" s="759">
        <f t="shared" si="60"/>
        <v>0</v>
      </c>
      <c r="G292" s="761">
        <f t="shared" si="60"/>
        <v>0</v>
      </c>
      <c r="H292" s="760">
        <f t="shared" si="60"/>
        <v>0</v>
      </c>
      <c r="I292" s="759">
        <f t="shared" si="60"/>
        <v>0</v>
      </c>
      <c r="J292" s="761">
        <f t="shared" si="60"/>
        <v>-100000</v>
      </c>
      <c r="K292" s="760">
        <f t="shared" si="60"/>
        <v>0</v>
      </c>
      <c r="L292" s="759">
        <f t="shared" si="60"/>
        <v>100000</v>
      </c>
      <c r="M292" s="785" t="s">
        <v>1869</v>
      </c>
    </row>
    <row r="293" spans="1:13" s="644" customFormat="1" ht="21" customHeight="1">
      <c r="A293" s="796" t="s">
        <v>1868</v>
      </c>
      <c r="B293" s="795" t="s">
        <v>1653</v>
      </c>
      <c r="C293" s="743">
        <v>48132000</v>
      </c>
      <c r="D293" s="741">
        <v>500000</v>
      </c>
      <c r="E293" s="740">
        <v>482929</v>
      </c>
      <c r="F293" s="739">
        <v>17071</v>
      </c>
      <c r="G293" s="741">
        <v>0</v>
      </c>
      <c r="H293" s="740">
        <v>0</v>
      </c>
      <c r="I293" s="739">
        <v>0</v>
      </c>
      <c r="J293" s="741">
        <v>0</v>
      </c>
      <c r="K293" s="740">
        <v>0</v>
      </c>
      <c r="L293" s="739">
        <v>47632000</v>
      </c>
      <c r="M293" s="794" t="s">
        <v>1713</v>
      </c>
    </row>
    <row r="294" spans="1:13" s="644" customFormat="1" ht="21" customHeight="1">
      <c r="A294" s="789" t="s">
        <v>1867</v>
      </c>
      <c r="B294" s="664" t="s">
        <v>430</v>
      </c>
      <c r="C294" s="631">
        <v>43721000</v>
      </c>
      <c r="D294" s="629">
        <v>480000</v>
      </c>
      <c r="E294" s="628">
        <v>462929</v>
      </c>
      <c r="F294" s="627">
        <v>17071</v>
      </c>
      <c r="G294" s="629">
        <v>0</v>
      </c>
      <c r="H294" s="628">
        <v>0</v>
      </c>
      <c r="I294" s="627">
        <v>0</v>
      </c>
      <c r="J294" s="629">
        <v>0</v>
      </c>
      <c r="K294" s="628">
        <v>0</v>
      </c>
      <c r="L294" s="627">
        <v>43241000</v>
      </c>
      <c r="M294" s="788" t="s">
        <v>1861</v>
      </c>
    </row>
    <row r="295" spans="1:13" s="644" customFormat="1" ht="21" customHeight="1">
      <c r="A295" s="789" t="s">
        <v>1866</v>
      </c>
      <c r="B295" s="664" t="s">
        <v>432</v>
      </c>
      <c r="C295" s="616">
        <v>2010000</v>
      </c>
      <c r="D295" s="615">
        <v>0</v>
      </c>
      <c r="E295" s="614">
        <v>0</v>
      </c>
      <c r="F295" s="613">
        <v>0</v>
      </c>
      <c r="G295" s="615">
        <v>0</v>
      </c>
      <c r="H295" s="614">
        <v>0</v>
      </c>
      <c r="I295" s="613">
        <v>0</v>
      </c>
      <c r="J295" s="615">
        <v>0</v>
      </c>
      <c r="K295" s="614">
        <v>0</v>
      </c>
      <c r="L295" s="613">
        <v>2010000</v>
      </c>
      <c r="M295" s="788"/>
    </row>
    <row r="296" spans="1:13" s="644" customFormat="1" ht="21" customHeight="1">
      <c r="A296" s="789" t="s">
        <v>1865</v>
      </c>
      <c r="B296" s="793" t="s">
        <v>434</v>
      </c>
      <c r="C296" s="616">
        <v>2401000</v>
      </c>
      <c r="D296" s="615">
        <v>20000</v>
      </c>
      <c r="E296" s="614">
        <v>20000</v>
      </c>
      <c r="F296" s="613">
        <v>0</v>
      </c>
      <c r="G296" s="615">
        <v>0</v>
      </c>
      <c r="H296" s="614">
        <v>0</v>
      </c>
      <c r="I296" s="613">
        <v>0</v>
      </c>
      <c r="J296" s="615">
        <v>0</v>
      </c>
      <c r="K296" s="614">
        <v>0</v>
      </c>
      <c r="L296" s="613">
        <v>2381000</v>
      </c>
      <c r="M296" s="788"/>
    </row>
    <row r="297" spans="1:13" s="644" customFormat="1" ht="21" customHeight="1">
      <c r="A297" s="789" t="s">
        <v>1864</v>
      </c>
      <c r="B297" s="624" t="s">
        <v>1651</v>
      </c>
      <c r="C297" s="623">
        <f>D297+G297+J297+K297+L297</f>
        <v>48132000</v>
      </c>
      <c r="D297" s="621">
        <f t="shared" ref="D297:L297" si="61">D298+D299+D300</f>
        <v>500000</v>
      </c>
      <c r="E297" s="620">
        <f t="shared" si="61"/>
        <v>482929</v>
      </c>
      <c r="F297" s="619">
        <f t="shared" si="61"/>
        <v>17071</v>
      </c>
      <c r="G297" s="621">
        <f t="shared" si="61"/>
        <v>0</v>
      </c>
      <c r="H297" s="620">
        <f t="shared" si="61"/>
        <v>0</v>
      </c>
      <c r="I297" s="619">
        <f t="shared" si="61"/>
        <v>0</v>
      </c>
      <c r="J297" s="621">
        <f t="shared" si="61"/>
        <v>1400000</v>
      </c>
      <c r="K297" s="620">
        <f t="shared" si="61"/>
        <v>0</v>
      </c>
      <c r="L297" s="619">
        <f t="shared" si="61"/>
        <v>46232000</v>
      </c>
      <c r="M297" s="788"/>
    </row>
    <row r="298" spans="1:13" s="644" customFormat="1" ht="21" customHeight="1">
      <c r="A298" s="789"/>
      <c r="B298" s="664" t="s">
        <v>430</v>
      </c>
      <c r="C298" s="616">
        <f>D298+G298+J298+K298+L298</f>
        <v>43721000</v>
      </c>
      <c r="D298" s="615">
        <v>480000</v>
      </c>
      <c r="E298" s="614">
        <f>+D298-F298</f>
        <v>462929</v>
      </c>
      <c r="F298" s="613">
        <v>17071</v>
      </c>
      <c r="G298" s="615">
        <v>0</v>
      </c>
      <c r="H298" s="614">
        <v>0</v>
      </c>
      <c r="I298" s="613">
        <f>G298-H298</f>
        <v>0</v>
      </c>
      <c r="J298" s="615">
        <v>1400000</v>
      </c>
      <c r="K298" s="614">
        <v>0</v>
      </c>
      <c r="L298" s="613">
        <f>43241000-1400000</f>
        <v>41841000</v>
      </c>
      <c r="M298" s="606"/>
    </row>
    <row r="299" spans="1:13" s="644" customFormat="1" ht="21" customHeight="1">
      <c r="A299" s="790" t="s">
        <v>1842</v>
      </c>
      <c r="B299" s="664" t="s">
        <v>432</v>
      </c>
      <c r="C299" s="616">
        <f>D299+G299+J299+K299+L299</f>
        <v>2010000</v>
      </c>
      <c r="D299" s="615">
        <v>0</v>
      </c>
      <c r="E299" s="614">
        <f>+D299-F299</f>
        <v>0</v>
      </c>
      <c r="F299" s="613">
        <v>0</v>
      </c>
      <c r="G299" s="615">
        <v>0</v>
      </c>
      <c r="H299" s="614">
        <v>0</v>
      </c>
      <c r="I299" s="613">
        <f>G299-H299</f>
        <v>0</v>
      </c>
      <c r="J299" s="615">
        <v>0</v>
      </c>
      <c r="K299" s="614">
        <v>0</v>
      </c>
      <c r="L299" s="613">
        <v>2010000</v>
      </c>
      <c r="M299" s="606"/>
    </row>
    <row r="300" spans="1:13" s="644" customFormat="1" ht="21" customHeight="1">
      <c r="A300" s="789"/>
      <c r="B300" s="797" t="s">
        <v>434</v>
      </c>
      <c r="C300" s="616">
        <f>D300+G300+J300+K300+L300</f>
        <v>2401000</v>
      </c>
      <c r="D300" s="615">
        <v>20000</v>
      </c>
      <c r="E300" s="792">
        <f>+D300-F300</f>
        <v>20000</v>
      </c>
      <c r="F300" s="613">
        <v>0</v>
      </c>
      <c r="G300" s="791">
        <v>0</v>
      </c>
      <c r="H300" s="614">
        <v>0</v>
      </c>
      <c r="I300" s="613">
        <f>G300-H300</f>
        <v>0</v>
      </c>
      <c r="J300" s="615">
        <v>0</v>
      </c>
      <c r="K300" s="614">
        <v>0</v>
      </c>
      <c r="L300" s="613">
        <v>2381000</v>
      </c>
      <c r="M300" s="788"/>
    </row>
    <row r="301" spans="1:13" s="644" customFormat="1" ht="21" customHeight="1" thickBot="1">
      <c r="A301" s="787"/>
      <c r="B301" s="786" t="s">
        <v>1649</v>
      </c>
      <c r="C301" s="762">
        <f t="shared" ref="C301:L301" si="62">C297-C293</f>
        <v>0</v>
      </c>
      <c r="D301" s="761">
        <f t="shared" si="62"/>
        <v>0</v>
      </c>
      <c r="E301" s="760">
        <f t="shared" si="62"/>
        <v>0</v>
      </c>
      <c r="F301" s="759">
        <f t="shared" si="62"/>
        <v>0</v>
      </c>
      <c r="G301" s="761">
        <f t="shared" si="62"/>
        <v>0</v>
      </c>
      <c r="H301" s="760">
        <f t="shared" si="62"/>
        <v>0</v>
      </c>
      <c r="I301" s="759">
        <f t="shared" si="62"/>
        <v>0</v>
      </c>
      <c r="J301" s="761">
        <f t="shared" si="62"/>
        <v>1400000</v>
      </c>
      <c r="K301" s="760">
        <f t="shared" si="62"/>
        <v>0</v>
      </c>
      <c r="L301" s="759">
        <f t="shared" si="62"/>
        <v>-1400000</v>
      </c>
      <c r="M301" s="785" t="s">
        <v>1856</v>
      </c>
    </row>
    <row r="302" spans="1:13" s="644" customFormat="1" ht="21" customHeight="1">
      <c r="A302" s="796" t="s">
        <v>1863</v>
      </c>
      <c r="B302" s="795" t="s">
        <v>1653</v>
      </c>
      <c r="C302" s="743">
        <v>70236000</v>
      </c>
      <c r="D302" s="741">
        <v>30122000</v>
      </c>
      <c r="E302" s="740">
        <v>29756735</v>
      </c>
      <c r="F302" s="739">
        <v>365265</v>
      </c>
      <c r="G302" s="741">
        <v>0</v>
      </c>
      <c r="H302" s="740">
        <v>0</v>
      </c>
      <c r="I302" s="739">
        <v>0</v>
      </c>
      <c r="J302" s="741">
        <v>0</v>
      </c>
      <c r="K302" s="740">
        <v>0</v>
      </c>
      <c r="L302" s="739">
        <v>40114000</v>
      </c>
      <c r="M302" s="794" t="s">
        <v>1713</v>
      </c>
    </row>
    <row r="303" spans="1:13" s="644" customFormat="1" ht="21" customHeight="1">
      <c r="A303" s="789" t="s">
        <v>1862</v>
      </c>
      <c r="B303" s="664" t="s">
        <v>430</v>
      </c>
      <c r="C303" s="616">
        <v>66191000</v>
      </c>
      <c r="D303" s="615">
        <v>29996000</v>
      </c>
      <c r="E303" s="614">
        <v>29743374</v>
      </c>
      <c r="F303" s="613">
        <v>252626</v>
      </c>
      <c r="G303" s="615">
        <v>0</v>
      </c>
      <c r="H303" s="614">
        <v>0</v>
      </c>
      <c r="I303" s="613">
        <v>0</v>
      </c>
      <c r="J303" s="615">
        <v>0</v>
      </c>
      <c r="K303" s="614">
        <v>0</v>
      </c>
      <c r="L303" s="613">
        <v>36195000</v>
      </c>
      <c r="M303" s="788" t="s">
        <v>1861</v>
      </c>
    </row>
    <row r="304" spans="1:13" s="644" customFormat="1" ht="21" customHeight="1">
      <c r="A304" s="789" t="s">
        <v>1860</v>
      </c>
      <c r="B304" s="664" t="s">
        <v>432</v>
      </c>
      <c r="C304" s="616">
        <v>3985000</v>
      </c>
      <c r="D304" s="615">
        <v>100000</v>
      </c>
      <c r="E304" s="614">
        <v>0</v>
      </c>
      <c r="F304" s="613">
        <v>100000</v>
      </c>
      <c r="G304" s="615">
        <v>0</v>
      </c>
      <c r="H304" s="614">
        <v>0</v>
      </c>
      <c r="I304" s="613">
        <v>0</v>
      </c>
      <c r="J304" s="615">
        <v>0</v>
      </c>
      <c r="K304" s="614">
        <v>0</v>
      </c>
      <c r="L304" s="613">
        <v>3885000</v>
      </c>
      <c r="M304" s="788"/>
    </row>
    <row r="305" spans="1:13" s="644" customFormat="1" ht="21" customHeight="1">
      <c r="A305" s="789" t="s">
        <v>1859</v>
      </c>
      <c r="B305" s="793" t="s">
        <v>434</v>
      </c>
      <c r="C305" s="616">
        <v>60000</v>
      </c>
      <c r="D305" s="615">
        <v>26000</v>
      </c>
      <c r="E305" s="792">
        <v>13361</v>
      </c>
      <c r="F305" s="613">
        <v>12639</v>
      </c>
      <c r="G305" s="791">
        <v>0</v>
      </c>
      <c r="H305" s="614">
        <v>0</v>
      </c>
      <c r="I305" s="613">
        <v>0</v>
      </c>
      <c r="J305" s="615">
        <v>0</v>
      </c>
      <c r="K305" s="614">
        <v>0</v>
      </c>
      <c r="L305" s="613">
        <v>34000</v>
      </c>
      <c r="M305" s="788"/>
    </row>
    <row r="306" spans="1:13" s="644" customFormat="1" ht="21" customHeight="1">
      <c r="A306" s="789" t="s">
        <v>1858</v>
      </c>
      <c r="B306" s="624" t="s">
        <v>1651</v>
      </c>
      <c r="C306" s="623">
        <v>70236000</v>
      </c>
      <c r="D306" s="621">
        <v>30122000</v>
      </c>
      <c r="E306" s="620">
        <v>29756735</v>
      </c>
      <c r="F306" s="619">
        <v>365265</v>
      </c>
      <c r="G306" s="621">
        <v>0</v>
      </c>
      <c r="H306" s="620">
        <v>0</v>
      </c>
      <c r="I306" s="619">
        <v>0</v>
      </c>
      <c r="J306" s="621">
        <v>500000</v>
      </c>
      <c r="K306" s="620">
        <v>0</v>
      </c>
      <c r="L306" s="619">
        <v>39614000</v>
      </c>
      <c r="M306" s="788"/>
    </row>
    <row r="307" spans="1:13" s="644" customFormat="1" ht="21" customHeight="1">
      <c r="A307" s="789"/>
      <c r="B307" s="664" t="s">
        <v>430</v>
      </c>
      <c r="C307" s="616">
        <v>66191000</v>
      </c>
      <c r="D307" s="615">
        <v>29996000</v>
      </c>
      <c r="E307" s="614">
        <v>29743374</v>
      </c>
      <c r="F307" s="613">
        <v>252626</v>
      </c>
      <c r="G307" s="615">
        <v>0</v>
      </c>
      <c r="H307" s="614">
        <v>0</v>
      </c>
      <c r="I307" s="613">
        <v>0</v>
      </c>
      <c r="J307" s="615">
        <v>360000</v>
      </c>
      <c r="K307" s="614">
        <v>0</v>
      </c>
      <c r="L307" s="613">
        <v>35835000</v>
      </c>
      <c r="M307" s="606"/>
    </row>
    <row r="308" spans="1:13" s="644" customFormat="1" ht="21" customHeight="1">
      <c r="A308" s="790" t="s">
        <v>1650</v>
      </c>
      <c r="B308" s="664" t="s">
        <v>432</v>
      </c>
      <c r="C308" s="616">
        <v>3985000</v>
      </c>
      <c r="D308" s="615">
        <v>100000</v>
      </c>
      <c r="E308" s="614">
        <v>0</v>
      </c>
      <c r="F308" s="613">
        <v>100000</v>
      </c>
      <c r="G308" s="615">
        <v>0</v>
      </c>
      <c r="H308" s="614">
        <v>0</v>
      </c>
      <c r="I308" s="613">
        <v>0</v>
      </c>
      <c r="J308" s="615">
        <v>140000</v>
      </c>
      <c r="K308" s="614">
        <v>0</v>
      </c>
      <c r="L308" s="613">
        <v>3745000</v>
      </c>
      <c r="M308" s="606"/>
    </row>
    <row r="309" spans="1:13" s="644" customFormat="1" ht="21" customHeight="1">
      <c r="A309" s="789"/>
      <c r="B309" s="664" t="s">
        <v>434</v>
      </c>
      <c r="C309" s="616">
        <v>60000</v>
      </c>
      <c r="D309" s="615">
        <v>26000</v>
      </c>
      <c r="E309" s="614">
        <v>13361</v>
      </c>
      <c r="F309" s="613">
        <v>12639</v>
      </c>
      <c r="G309" s="615">
        <v>0</v>
      </c>
      <c r="H309" s="614">
        <v>0</v>
      </c>
      <c r="I309" s="613">
        <v>0</v>
      </c>
      <c r="J309" s="615">
        <v>0</v>
      </c>
      <c r="K309" s="614">
        <v>0</v>
      </c>
      <c r="L309" s="613">
        <v>34000</v>
      </c>
      <c r="M309" s="788"/>
    </row>
    <row r="310" spans="1:13" s="644" customFormat="1" ht="21" customHeight="1" thickBot="1">
      <c r="A310" s="787"/>
      <c r="B310" s="786" t="s">
        <v>1649</v>
      </c>
      <c r="C310" s="762">
        <v>0</v>
      </c>
      <c r="D310" s="761">
        <v>0</v>
      </c>
      <c r="E310" s="760">
        <v>0</v>
      </c>
      <c r="F310" s="765">
        <v>0</v>
      </c>
      <c r="G310" s="761">
        <v>0</v>
      </c>
      <c r="H310" s="760">
        <v>0</v>
      </c>
      <c r="I310" s="765">
        <v>0</v>
      </c>
      <c r="J310" s="761">
        <v>500000</v>
      </c>
      <c r="K310" s="760">
        <v>0</v>
      </c>
      <c r="L310" s="759" t="s">
        <v>1857</v>
      </c>
      <c r="M310" s="785" t="s">
        <v>1856</v>
      </c>
    </row>
    <row r="311" spans="1:13" s="644" customFormat="1" ht="21" customHeight="1">
      <c r="A311" s="784" t="s">
        <v>1855</v>
      </c>
      <c r="B311" s="783" t="s">
        <v>1849</v>
      </c>
      <c r="C311" s="742">
        <v>54716000</v>
      </c>
      <c r="D311" s="741">
        <v>29500000</v>
      </c>
      <c r="E311" s="740">
        <v>22648925</v>
      </c>
      <c r="F311" s="742">
        <v>6851075</v>
      </c>
      <c r="G311" s="741">
        <v>6705000</v>
      </c>
      <c r="H311" s="740">
        <v>6501032</v>
      </c>
      <c r="I311" s="742">
        <v>203968</v>
      </c>
      <c r="J311" s="741">
        <v>0</v>
      </c>
      <c r="K311" s="740">
        <v>0</v>
      </c>
      <c r="L311" s="739">
        <v>18511000</v>
      </c>
      <c r="M311" s="782" t="s">
        <v>1654</v>
      </c>
    </row>
    <row r="312" spans="1:13" s="644" customFormat="1" ht="21" customHeight="1">
      <c r="A312" s="777" t="s">
        <v>1854</v>
      </c>
      <c r="B312" s="771" t="s">
        <v>430</v>
      </c>
      <c r="C312" s="616">
        <v>53056000</v>
      </c>
      <c r="D312" s="615">
        <v>29480000</v>
      </c>
      <c r="E312" s="614">
        <v>22646177</v>
      </c>
      <c r="F312" s="626">
        <v>6833823</v>
      </c>
      <c r="G312" s="615">
        <v>6705000</v>
      </c>
      <c r="H312" s="614">
        <v>6501032</v>
      </c>
      <c r="I312" s="626">
        <v>0</v>
      </c>
      <c r="J312" s="615">
        <v>0</v>
      </c>
      <c r="K312" s="614">
        <v>0</v>
      </c>
      <c r="L312" s="613">
        <v>16871000</v>
      </c>
      <c r="M312" s="781" t="s">
        <v>1847</v>
      </c>
    </row>
    <row r="313" spans="1:13" s="644" customFormat="1" ht="21" customHeight="1">
      <c r="A313" s="777" t="s">
        <v>1853</v>
      </c>
      <c r="B313" s="771" t="s">
        <v>432</v>
      </c>
      <c r="C313" s="616">
        <v>1607000</v>
      </c>
      <c r="D313" s="615">
        <v>0</v>
      </c>
      <c r="E313" s="614">
        <v>0</v>
      </c>
      <c r="F313" s="626">
        <v>0</v>
      </c>
      <c r="G313" s="615">
        <v>0</v>
      </c>
      <c r="H313" s="614">
        <v>0</v>
      </c>
      <c r="I313" s="626">
        <v>0</v>
      </c>
      <c r="J313" s="615">
        <v>0</v>
      </c>
      <c r="K313" s="614">
        <v>0</v>
      </c>
      <c r="L313" s="613">
        <v>1607000</v>
      </c>
      <c r="M313" s="780"/>
    </row>
    <row r="314" spans="1:13" s="644" customFormat="1" ht="21" customHeight="1">
      <c r="A314" s="779" t="s">
        <v>1852</v>
      </c>
      <c r="B314" s="771" t="s">
        <v>434</v>
      </c>
      <c r="C314" s="616">
        <v>53000</v>
      </c>
      <c r="D314" s="615">
        <v>20000</v>
      </c>
      <c r="E314" s="614">
        <v>2748</v>
      </c>
      <c r="F314" s="626">
        <v>17252</v>
      </c>
      <c r="G314" s="615">
        <v>0</v>
      </c>
      <c r="H314" s="614">
        <v>0</v>
      </c>
      <c r="I314" s="626">
        <v>0</v>
      </c>
      <c r="J314" s="615">
        <v>0</v>
      </c>
      <c r="K314" s="614">
        <v>0</v>
      </c>
      <c r="L314" s="613">
        <v>33000</v>
      </c>
      <c r="M314" s="778"/>
    </row>
    <row r="315" spans="1:13" s="644" customFormat="1" ht="21" customHeight="1">
      <c r="A315" s="777" t="s">
        <v>1851</v>
      </c>
      <c r="B315" s="776" t="s">
        <v>1843</v>
      </c>
      <c r="C315" s="622">
        <v>110185000</v>
      </c>
      <c r="D315" s="621">
        <v>29500000</v>
      </c>
      <c r="E315" s="620">
        <v>22648925</v>
      </c>
      <c r="F315" s="622">
        <v>6851075</v>
      </c>
      <c r="G315" s="621">
        <v>6705000</v>
      </c>
      <c r="H315" s="620">
        <v>6501032</v>
      </c>
      <c r="I315" s="622">
        <v>203968</v>
      </c>
      <c r="J315" s="621">
        <v>19000000</v>
      </c>
      <c r="K315" s="620">
        <v>0</v>
      </c>
      <c r="L315" s="619">
        <v>54980000</v>
      </c>
      <c r="M315" s="775"/>
    </row>
    <row r="316" spans="1:13" s="644" customFormat="1" ht="21" customHeight="1">
      <c r="A316" s="774"/>
      <c r="B316" s="771" t="s">
        <v>430</v>
      </c>
      <c r="C316" s="616">
        <v>108458000</v>
      </c>
      <c r="D316" s="615">
        <v>29480000</v>
      </c>
      <c r="E316" s="614">
        <v>22646177</v>
      </c>
      <c r="F316" s="626">
        <v>6833823</v>
      </c>
      <c r="G316" s="615">
        <v>6705000</v>
      </c>
      <c r="H316" s="614">
        <v>6501032</v>
      </c>
      <c r="I316" s="626">
        <v>0</v>
      </c>
      <c r="J316" s="615">
        <v>18900000</v>
      </c>
      <c r="K316" s="614">
        <v>0</v>
      </c>
      <c r="L316" s="613">
        <v>53373000</v>
      </c>
      <c r="M316" s="773"/>
    </row>
    <row r="317" spans="1:13" s="644" customFormat="1" ht="21" customHeight="1">
      <c r="A317" s="772" t="s">
        <v>1842</v>
      </c>
      <c r="B317" s="771" t="s">
        <v>432</v>
      </c>
      <c r="C317" s="616">
        <v>1607000</v>
      </c>
      <c r="D317" s="615">
        <v>0</v>
      </c>
      <c r="E317" s="614">
        <v>0</v>
      </c>
      <c r="F317" s="626">
        <v>0</v>
      </c>
      <c r="G317" s="615">
        <v>0</v>
      </c>
      <c r="H317" s="614">
        <v>0</v>
      </c>
      <c r="I317" s="626">
        <v>0</v>
      </c>
      <c r="J317" s="615">
        <v>0</v>
      </c>
      <c r="K317" s="614">
        <v>0</v>
      </c>
      <c r="L317" s="613">
        <v>1607000</v>
      </c>
      <c r="M317" s="770"/>
    </row>
    <row r="318" spans="1:13" s="644" customFormat="1" ht="21" customHeight="1">
      <c r="A318" s="772"/>
      <c r="B318" s="771" t="s">
        <v>434</v>
      </c>
      <c r="C318" s="616">
        <v>120000</v>
      </c>
      <c r="D318" s="615">
        <v>20000</v>
      </c>
      <c r="E318" s="614">
        <v>2748</v>
      </c>
      <c r="F318" s="626">
        <v>17252</v>
      </c>
      <c r="G318" s="615">
        <v>0</v>
      </c>
      <c r="H318" s="614">
        <v>0</v>
      </c>
      <c r="I318" s="626">
        <v>0</v>
      </c>
      <c r="J318" s="615">
        <v>100000</v>
      </c>
      <c r="K318" s="614">
        <v>0</v>
      </c>
      <c r="L318" s="613"/>
      <c r="M318" s="770"/>
    </row>
    <row r="319" spans="1:13" s="644" customFormat="1" ht="21" customHeight="1" thickBot="1">
      <c r="A319" s="769"/>
      <c r="B319" s="768" t="s">
        <v>1841</v>
      </c>
      <c r="C319" s="765">
        <v>55469000</v>
      </c>
      <c r="D319" s="761">
        <v>0</v>
      </c>
      <c r="E319" s="760">
        <v>0</v>
      </c>
      <c r="F319" s="765">
        <v>0</v>
      </c>
      <c r="G319" s="761">
        <v>0</v>
      </c>
      <c r="H319" s="760">
        <v>0</v>
      </c>
      <c r="I319" s="765">
        <v>0</v>
      </c>
      <c r="J319" s="761">
        <v>19000000</v>
      </c>
      <c r="K319" s="760">
        <v>0</v>
      </c>
      <c r="L319" s="759">
        <v>36469000</v>
      </c>
      <c r="M319" s="767" t="s">
        <v>1840</v>
      </c>
    </row>
    <row r="320" spans="1:13" s="644" customFormat="1" ht="21" customHeight="1">
      <c r="A320" s="784" t="s">
        <v>1850</v>
      </c>
      <c r="B320" s="783" t="s">
        <v>1849</v>
      </c>
      <c r="C320" s="742">
        <v>129800000</v>
      </c>
      <c r="D320" s="741">
        <v>2600000</v>
      </c>
      <c r="E320" s="740">
        <v>2600000</v>
      </c>
      <c r="F320" s="742">
        <v>0</v>
      </c>
      <c r="G320" s="741">
        <v>12000164</v>
      </c>
      <c r="H320" s="740">
        <v>6000082</v>
      </c>
      <c r="I320" s="742">
        <v>6000082</v>
      </c>
      <c r="J320" s="741">
        <v>0</v>
      </c>
      <c r="K320" s="740">
        <v>0</v>
      </c>
      <c r="L320" s="739">
        <v>115199836</v>
      </c>
      <c r="M320" s="782" t="s">
        <v>1654</v>
      </c>
    </row>
    <row r="321" spans="1:13" s="644" customFormat="1" ht="21" customHeight="1">
      <c r="A321" s="777" t="s">
        <v>1848</v>
      </c>
      <c r="B321" s="771" t="s">
        <v>430</v>
      </c>
      <c r="C321" s="616">
        <v>129800000</v>
      </c>
      <c r="D321" s="615">
        <v>2600000</v>
      </c>
      <c r="E321" s="614">
        <v>2600000</v>
      </c>
      <c r="F321" s="626">
        <v>0</v>
      </c>
      <c r="G321" s="615">
        <v>12000164</v>
      </c>
      <c r="H321" s="614">
        <v>6000082</v>
      </c>
      <c r="I321" s="626">
        <v>6000082</v>
      </c>
      <c r="J321" s="615">
        <v>0</v>
      </c>
      <c r="K321" s="614">
        <v>0</v>
      </c>
      <c r="L321" s="613">
        <v>115199836</v>
      </c>
      <c r="M321" s="781" t="s">
        <v>1847</v>
      </c>
    </row>
    <row r="322" spans="1:13" s="644" customFormat="1" ht="21" customHeight="1">
      <c r="A322" s="777" t="s">
        <v>1846</v>
      </c>
      <c r="B322" s="771" t="s">
        <v>432</v>
      </c>
      <c r="C322" s="616">
        <v>0</v>
      </c>
      <c r="D322" s="615">
        <v>0</v>
      </c>
      <c r="E322" s="614">
        <v>0</v>
      </c>
      <c r="F322" s="626">
        <v>0</v>
      </c>
      <c r="G322" s="615">
        <v>0</v>
      </c>
      <c r="H322" s="614">
        <v>0</v>
      </c>
      <c r="I322" s="626">
        <v>0</v>
      </c>
      <c r="J322" s="615">
        <v>0</v>
      </c>
      <c r="K322" s="614">
        <v>0</v>
      </c>
      <c r="L322" s="613">
        <v>0</v>
      </c>
      <c r="M322" s="780"/>
    </row>
    <row r="323" spans="1:13" s="644" customFormat="1" ht="21" customHeight="1">
      <c r="A323" s="779" t="s">
        <v>1845</v>
      </c>
      <c r="B323" s="771" t="s">
        <v>434</v>
      </c>
      <c r="C323" s="616">
        <v>0</v>
      </c>
      <c r="D323" s="615">
        <v>0</v>
      </c>
      <c r="E323" s="614">
        <v>0</v>
      </c>
      <c r="F323" s="626">
        <v>0</v>
      </c>
      <c r="G323" s="615">
        <v>0</v>
      </c>
      <c r="H323" s="614">
        <v>0</v>
      </c>
      <c r="I323" s="626">
        <v>0</v>
      </c>
      <c r="J323" s="615">
        <v>0</v>
      </c>
      <c r="K323" s="614">
        <v>0</v>
      </c>
      <c r="L323" s="613">
        <v>0</v>
      </c>
      <c r="M323" s="778"/>
    </row>
    <row r="324" spans="1:13" s="644" customFormat="1" ht="21" customHeight="1">
      <c r="A324" s="777" t="s">
        <v>1844</v>
      </c>
      <c r="B324" s="776" t="s">
        <v>1843</v>
      </c>
      <c r="C324" s="622">
        <v>129800000</v>
      </c>
      <c r="D324" s="621">
        <v>2600000</v>
      </c>
      <c r="E324" s="620">
        <v>2600000</v>
      </c>
      <c r="F324" s="622">
        <v>0</v>
      </c>
      <c r="G324" s="621">
        <v>12000164</v>
      </c>
      <c r="H324" s="620">
        <v>6000082</v>
      </c>
      <c r="I324" s="622">
        <v>6000082</v>
      </c>
      <c r="J324" s="621">
        <v>15655844</v>
      </c>
      <c r="K324" s="620">
        <v>0</v>
      </c>
      <c r="L324" s="619">
        <v>99543992</v>
      </c>
      <c r="M324" s="775"/>
    </row>
    <row r="325" spans="1:13" s="644" customFormat="1" ht="21" customHeight="1">
      <c r="A325" s="774"/>
      <c r="B325" s="771" t="s">
        <v>430</v>
      </c>
      <c r="C325" s="616">
        <v>129800000</v>
      </c>
      <c r="D325" s="615">
        <v>2600000</v>
      </c>
      <c r="E325" s="614">
        <v>2600000</v>
      </c>
      <c r="F325" s="626">
        <v>0</v>
      </c>
      <c r="G325" s="615">
        <v>12000164</v>
      </c>
      <c r="H325" s="614">
        <v>6000082</v>
      </c>
      <c r="I325" s="626">
        <v>6000082</v>
      </c>
      <c r="J325" s="615">
        <v>15655844</v>
      </c>
      <c r="K325" s="614">
        <v>0</v>
      </c>
      <c r="L325" s="613">
        <v>99543992</v>
      </c>
      <c r="M325" s="773"/>
    </row>
    <row r="326" spans="1:13" s="644" customFormat="1" ht="21" customHeight="1">
      <c r="A326" s="772" t="s">
        <v>1842</v>
      </c>
      <c r="B326" s="771" t="s">
        <v>432</v>
      </c>
      <c r="C326" s="616">
        <v>0</v>
      </c>
      <c r="D326" s="615">
        <v>0</v>
      </c>
      <c r="E326" s="614">
        <v>0</v>
      </c>
      <c r="F326" s="626">
        <v>0</v>
      </c>
      <c r="G326" s="615">
        <v>0</v>
      </c>
      <c r="H326" s="614">
        <v>0</v>
      </c>
      <c r="I326" s="626">
        <v>0</v>
      </c>
      <c r="J326" s="615">
        <v>0</v>
      </c>
      <c r="K326" s="614">
        <v>0</v>
      </c>
      <c r="L326" s="613">
        <v>0</v>
      </c>
      <c r="M326" s="770"/>
    </row>
    <row r="327" spans="1:13" s="644" customFormat="1" ht="21" customHeight="1">
      <c r="A327" s="772"/>
      <c r="B327" s="771" t="s">
        <v>434</v>
      </c>
      <c r="C327" s="616">
        <v>0</v>
      </c>
      <c r="D327" s="615">
        <v>0</v>
      </c>
      <c r="E327" s="614">
        <v>0</v>
      </c>
      <c r="F327" s="626">
        <v>0</v>
      </c>
      <c r="G327" s="615">
        <v>0</v>
      </c>
      <c r="H327" s="614">
        <v>0</v>
      </c>
      <c r="I327" s="626">
        <v>0</v>
      </c>
      <c r="J327" s="615">
        <v>0</v>
      </c>
      <c r="K327" s="614">
        <v>0</v>
      </c>
      <c r="L327" s="613">
        <v>0</v>
      </c>
      <c r="M327" s="770"/>
    </row>
    <row r="328" spans="1:13" s="644" customFormat="1" ht="21" customHeight="1" thickBot="1">
      <c r="A328" s="769"/>
      <c r="B328" s="768" t="s">
        <v>1841</v>
      </c>
      <c r="C328" s="765">
        <v>0</v>
      </c>
      <c r="D328" s="761">
        <v>0</v>
      </c>
      <c r="E328" s="760">
        <v>0</v>
      </c>
      <c r="F328" s="765">
        <v>0</v>
      </c>
      <c r="G328" s="761">
        <v>0</v>
      </c>
      <c r="H328" s="760">
        <v>0</v>
      </c>
      <c r="I328" s="765">
        <v>0</v>
      </c>
      <c r="J328" s="761">
        <v>15655844</v>
      </c>
      <c r="K328" s="760">
        <v>0</v>
      </c>
      <c r="L328" s="759">
        <v>-15655844</v>
      </c>
      <c r="M328" s="767" t="s">
        <v>1840</v>
      </c>
    </row>
    <row r="329" spans="1:13" s="644" customFormat="1" ht="22.5" customHeight="1">
      <c r="A329" s="704" t="s">
        <v>1839</v>
      </c>
      <c r="B329" s="766" t="s">
        <v>1653</v>
      </c>
      <c r="C329" s="638">
        <f>J329+K329+L329+G329+D329</f>
        <v>2210000</v>
      </c>
      <c r="D329" s="636">
        <f>SUM(D330:D332)</f>
        <v>0</v>
      </c>
      <c r="E329" s="635">
        <f>D329-F329</f>
        <v>0</v>
      </c>
      <c r="F329" s="637">
        <f t="shared" ref="F329:L329" si="63">SUM(F330:F332)</f>
        <v>0</v>
      </c>
      <c r="G329" s="636">
        <f t="shared" si="63"/>
        <v>1000000</v>
      </c>
      <c r="H329" s="635">
        <f t="shared" si="63"/>
        <v>0</v>
      </c>
      <c r="I329" s="637">
        <f t="shared" si="63"/>
        <v>1000000</v>
      </c>
      <c r="J329" s="636">
        <f t="shared" si="63"/>
        <v>210000</v>
      </c>
      <c r="K329" s="635">
        <f t="shared" si="63"/>
        <v>1000000</v>
      </c>
      <c r="L329" s="634">
        <f t="shared" si="63"/>
        <v>0</v>
      </c>
      <c r="M329" s="756" t="s">
        <v>1838</v>
      </c>
    </row>
    <row r="330" spans="1:13" s="644" customFormat="1" ht="22.5" customHeight="1">
      <c r="A330" s="755" t="s">
        <v>1825</v>
      </c>
      <c r="B330" s="748" t="s">
        <v>1786</v>
      </c>
      <c r="C330" s="631">
        <f>J330+K330+L330+G330+D330</f>
        <v>2200000</v>
      </c>
      <c r="D330" s="629">
        <v>0</v>
      </c>
      <c r="E330" s="628">
        <v>0</v>
      </c>
      <c r="F330" s="630">
        <v>0</v>
      </c>
      <c r="G330" s="629">
        <v>1000000</v>
      </c>
      <c r="H330" s="628">
        <v>0</v>
      </c>
      <c r="I330" s="630">
        <f>G330-H330</f>
        <v>1000000</v>
      </c>
      <c r="J330" s="629">
        <v>200000</v>
      </c>
      <c r="K330" s="628">
        <v>1000000</v>
      </c>
      <c r="L330" s="627">
        <v>0</v>
      </c>
      <c r="M330" s="746" t="s">
        <v>1820</v>
      </c>
    </row>
    <row r="331" spans="1:13" s="644" customFormat="1" ht="22.5" customHeight="1">
      <c r="A331" s="668" t="s">
        <v>1837</v>
      </c>
      <c r="B331" s="734" t="s">
        <v>1782</v>
      </c>
      <c r="C331" s="616">
        <f>J331+K331+L331+G331+D331</f>
        <v>10000</v>
      </c>
      <c r="D331" s="615">
        <v>0</v>
      </c>
      <c r="E331" s="614">
        <v>0</v>
      </c>
      <c r="F331" s="626">
        <v>0</v>
      </c>
      <c r="G331" s="615">
        <v>0</v>
      </c>
      <c r="H331" s="614">
        <v>0</v>
      </c>
      <c r="I331" s="626">
        <v>0</v>
      </c>
      <c r="J331" s="615">
        <v>10000</v>
      </c>
      <c r="K331" s="614">
        <v>0</v>
      </c>
      <c r="L331" s="613">
        <v>0</v>
      </c>
      <c r="M331" s="746" t="s">
        <v>1818</v>
      </c>
    </row>
    <row r="332" spans="1:13" s="644" customFormat="1" ht="22.5" customHeight="1">
      <c r="A332" s="668" t="s">
        <v>1836</v>
      </c>
      <c r="B332" s="664"/>
      <c r="C332" s="616"/>
      <c r="D332" s="615"/>
      <c r="E332" s="614"/>
      <c r="F332" s="626"/>
      <c r="G332" s="615"/>
      <c r="H332" s="614"/>
      <c r="I332" s="626"/>
      <c r="J332" s="615"/>
      <c r="K332" s="614"/>
      <c r="L332" s="613"/>
      <c r="M332" s="746" t="s">
        <v>1816</v>
      </c>
    </row>
    <row r="333" spans="1:13" s="644" customFormat="1" ht="22.5" customHeight="1">
      <c r="A333" s="668" t="s">
        <v>1835</v>
      </c>
      <c r="B333" s="754" t="s">
        <v>1651</v>
      </c>
      <c r="C333" s="753">
        <f>J333+K333+L333+G333+D333</f>
        <v>2210000</v>
      </c>
      <c r="D333" s="751">
        <f>SUM(D334:D335)</f>
        <v>0</v>
      </c>
      <c r="E333" s="750">
        <f>D333-F333</f>
        <v>0</v>
      </c>
      <c r="F333" s="752">
        <f t="shared" ref="F333:L333" si="64">SUM(F334:F335)</f>
        <v>0</v>
      </c>
      <c r="G333" s="751">
        <f t="shared" si="64"/>
        <v>1000000</v>
      </c>
      <c r="H333" s="750">
        <f t="shared" si="64"/>
        <v>300000</v>
      </c>
      <c r="I333" s="752">
        <f t="shared" si="64"/>
        <v>700000</v>
      </c>
      <c r="J333" s="751">
        <f t="shared" si="64"/>
        <v>50000</v>
      </c>
      <c r="K333" s="750">
        <f t="shared" si="64"/>
        <v>600000</v>
      </c>
      <c r="L333" s="749">
        <f t="shared" si="64"/>
        <v>560000</v>
      </c>
      <c r="M333" s="746"/>
    </row>
    <row r="334" spans="1:13" s="644" customFormat="1" ht="22.5" customHeight="1">
      <c r="A334" s="668" t="s">
        <v>1834</v>
      </c>
      <c r="B334" s="748" t="s">
        <v>1786</v>
      </c>
      <c r="C334" s="631">
        <f>J334+K334+L334+G334+D334</f>
        <v>2200000</v>
      </c>
      <c r="D334" s="629">
        <v>0</v>
      </c>
      <c r="E334" s="628">
        <v>0</v>
      </c>
      <c r="F334" s="630">
        <v>0</v>
      </c>
      <c r="G334" s="629">
        <v>1000000</v>
      </c>
      <c r="H334" s="628">
        <v>300000</v>
      </c>
      <c r="I334" s="630">
        <f>G334-H334</f>
        <v>700000</v>
      </c>
      <c r="J334" s="629">
        <f>200000-160000</f>
        <v>40000</v>
      </c>
      <c r="K334" s="628">
        <v>600000</v>
      </c>
      <c r="L334" s="627">
        <v>560000</v>
      </c>
      <c r="M334" s="746"/>
    </row>
    <row r="335" spans="1:13" s="644" customFormat="1" ht="22.5" customHeight="1">
      <c r="A335" s="668" t="s">
        <v>1833</v>
      </c>
      <c r="B335" s="747" t="s">
        <v>1782</v>
      </c>
      <c r="C335" s="610">
        <f>J335+K335+L335+G335+D335</f>
        <v>10000</v>
      </c>
      <c r="D335" s="609">
        <v>0</v>
      </c>
      <c r="E335" s="608">
        <v>0</v>
      </c>
      <c r="F335" s="642">
        <v>0</v>
      </c>
      <c r="G335" s="609">
        <v>0</v>
      </c>
      <c r="H335" s="608">
        <v>0</v>
      </c>
      <c r="I335" s="642">
        <v>0</v>
      </c>
      <c r="J335" s="609">
        <v>10000</v>
      </c>
      <c r="K335" s="608">
        <v>0</v>
      </c>
      <c r="L335" s="607">
        <v>0</v>
      </c>
      <c r="M335" s="746"/>
    </row>
    <row r="336" spans="1:13" s="644" customFormat="1" ht="22.5" customHeight="1" thickBot="1">
      <c r="A336" s="731" t="s">
        <v>1813</v>
      </c>
      <c r="B336" s="763" t="s">
        <v>1649</v>
      </c>
      <c r="C336" s="762">
        <f t="shared" ref="C336:L336" si="65">C333-C329</f>
        <v>0</v>
      </c>
      <c r="D336" s="761">
        <f t="shared" si="65"/>
        <v>0</v>
      </c>
      <c r="E336" s="760">
        <f t="shared" si="65"/>
        <v>0</v>
      </c>
      <c r="F336" s="765">
        <f t="shared" si="65"/>
        <v>0</v>
      </c>
      <c r="G336" s="761">
        <f t="shared" si="65"/>
        <v>0</v>
      </c>
      <c r="H336" s="760">
        <f t="shared" si="65"/>
        <v>300000</v>
      </c>
      <c r="I336" s="759">
        <f t="shared" si="65"/>
        <v>-300000</v>
      </c>
      <c r="J336" s="761">
        <f t="shared" si="65"/>
        <v>-160000</v>
      </c>
      <c r="K336" s="760">
        <f t="shared" si="65"/>
        <v>-400000</v>
      </c>
      <c r="L336" s="759">
        <f t="shared" si="65"/>
        <v>560000</v>
      </c>
      <c r="M336" s="745" t="s">
        <v>1832</v>
      </c>
    </row>
    <row r="337" spans="1:13" s="758" customFormat="1" ht="22.5" customHeight="1">
      <c r="A337" s="704" t="s">
        <v>1831</v>
      </c>
      <c r="B337" s="757" t="s">
        <v>1653</v>
      </c>
      <c r="C337" s="638">
        <f>SUM(C338:C340)</f>
        <v>4210000</v>
      </c>
      <c r="D337" s="636">
        <f>SUM(D338:D340)</f>
        <v>0</v>
      </c>
      <c r="E337" s="635">
        <f>D337-F337</f>
        <v>0</v>
      </c>
      <c r="F337" s="634">
        <f t="shared" ref="F337:L337" si="66">SUM(F338:F340)</f>
        <v>0</v>
      </c>
      <c r="G337" s="636">
        <f t="shared" si="66"/>
        <v>0</v>
      </c>
      <c r="H337" s="635">
        <f t="shared" si="66"/>
        <v>0</v>
      </c>
      <c r="I337" s="634">
        <f t="shared" si="66"/>
        <v>0</v>
      </c>
      <c r="J337" s="636">
        <f t="shared" si="66"/>
        <v>810000</v>
      </c>
      <c r="K337" s="635">
        <f t="shared" si="66"/>
        <v>2100000</v>
      </c>
      <c r="L337" s="634">
        <f t="shared" si="66"/>
        <v>1300000</v>
      </c>
      <c r="M337" s="756" t="s">
        <v>1713</v>
      </c>
    </row>
    <row r="338" spans="1:13" s="758" customFormat="1" ht="22.5" customHeight="1">
      <c r="A338" s="755" t="s">
        <v>1830</v>
      </c>
      <c r="B338" s="735" t="s">
        <v>1786</v>
      </c>
      <c r="C338" s="631">
        <f>J338+K338+L338+G338+D338</f>
        <v>4200000</v>
      </c>
      <c r="D338" s="629">
        <v>0</v>
      </c>
      <c r="E338" s="628">
        <v>0</v>
      </c>
      <c r="F338" s="627">
        <v>0</v>
      </c>
      <c r="G338" s="629">
        <v>0</v>
      </c>
      <c r="H338" s="628">
        <v>0</v>
      </c>
      <c r="I338" s="627">
        <v>0</v>
      </c>
      <c r="J338" s="629">
        <v>800000</v>
      </c>
      <c r="K338" s="628">
        <v>2100000</v>
      </c>
      <c r="L338" s="627">
        <v>1300000</v>
      </c>
      <c r="M338" s="746" t="s">
        <v>1820</v>
      </c>
    </row>
    <row r="339" spans="1:13" s="758" customFormat="1" ht="22.5" customHeight="1">
      <c r="A339" s="668" t="s">
        <v>1829</v>
      </c>
      <c r="B339" s="734" t="s">
        <v>1782</v>
      </c>
      <c r="C339" s="616">
        <f>J339+K339+L339+G339+D339</f>
        <v>10000</v>
      </c>
      <c r="D339" s="615">
        <v>0</v>
      </c>
      <c r="E339" s="614">
        <v>0</v>
      </c>
      <c r="F339" s="613">
        <v>0</v>
      </c>
      <c r="G339" s="615">
        <v>0</v>
      </c>
      <c r="H339" s="614">
        <v>0</v>
      </c>
      <c r="I339" s="613">
        <v>0</v>
      </c>
      <c r="J339" s="615">
        <v>10000</v>
      </c>
      <c r="K339" s="614">
        <v>0</v>
      </c>
      <c r="L339" s="613">
        <v>0</v>
      </c>
      <c r="M339" s="746" t="s">
        <v>1818</v>
      </c>
    </row>
    <row r="340" spans="1:13" s="758" customFormat="1" ht="22.5" customHeight="1">
      <c r="A340" s="668" t="s">
        <v>1828</v>
      </c>
      <c r="B340" s="664"/>
      <c r="C340" s="616"/>
      <c r="D340" s="615"/>
      <c r="E340" s="614"/>
      <c r="F340" s="613"/>
      <c r="G340" s="615"/>
      <c r="H340" s="614"/>
      <c r="I340" s="613"/>
      <c r="J340" s="615"/>
      <c r="K340" s="614"/>
      <c r="L340" s="613"/>
      <c r="M340" s="746" t="s">
        <v>1816</v>
      </c>
    </row>
    <row r="341" spans="1:13" s="758" customFormat="1" ht="22.5" customHeight="1">
      <c r="A341" s="668" t="s">
        <v>1827</v>
      </c>
      <c r="B341" s="754" t="s">
        <v>1651</v>
      </c>
      <c r="C341" s="753">
        <f>SUM(C342:C344)</f>
        <v>4210000</v>
      </c>
      <c r="D341" s="751">
        <f>SUM(D342:D344)</f>
        <v>0</v>
      </c>
      <c r="E341" s="750">
        <f>D341-F341</f>
        <v>0</v>
      </c>
      <c r="F341" s="749">
        <f t="shared" ref="F341:L341" si="67">SUM(F342:F344)</f>
        <v>0</v>
      </c>
      <c r="G341" s="751">
        <f t="shared" si="67"/>
        <v>0</v>
      </c>
      <c r="H341" s="750">
        <f t="shared" si="67"/>
        <v>0</v>
      </c>
      <c r="I341" s="749">
        <f t="shared" si="67"/>
        <v>0</v>
      </c>
      <c r="J341" s="751">
        <f t="shared" si="67"/>
        <v>170000</v>
      </c>
      <c r="K341" s="750">
        <f t="shared" si="67"/>
        <v>2100000</v>
      </c>
      <c r="L341" s="749">
        <f t="shared" si="67"/>
        <v>1940000</v>
      </c>
      <c r="M341" s="746"/>
    </row>
    <row r="342" spans="1:13" s="758" customFormat="1" ht="22.5" customHeight="1">
      <c r="A342" s="668" t="s">
        <v>1815</v>
      </c>
      <c r="B342" s="748" t="s">
        <v>1786</v>
      </c>
      <c r="C342" s="631">
        <f>J342+K342+L342+G342+D342</f>
        <v>4200000</v>
      </c>
      <c r="D342" s="629">
        <v>0</v>
      </c>
      <c r="E342" s="628">
        <v>0</v>
      </c>
      <c r="F342" s="627">
        <v>0</v>
      </c>
      <c r="G342" s="629">
        <v>0</v>
      </c>
      <c r="H342" s="628">
        <v>0</v>
      </c>
      <c r="I342" s="627">
        <v>0</v>
      </c>
      <c r="J342" s="629">
        <f>800000-640000</f>
        <v>160000</v>
      </c>
      <c r="K342" s="628">
        <v>2100000</v>
      </c>
      <c r="L342" s="627">
        <v>1940000</v>
      </c>
      <c r="M342" s="746"/>
    </row>
    <row r="343" spans="1:13" s="758" customFormat="1" ht="22.5" customHeight="1">
      <c r="A343" s="668" t="s">
        <v>1814</v>
      </c>
      <c r="B343" s="734" t="s">
        <v>1782</v>
      </c>
      <c r="C343" s="616">
        <f>J343+K343+L343+G343+D343</f>
        <v>10000</v>
      </c>
      <c r="D343" s="615">
        <v>0</v>
      </c>
      <c r="E343" s="614">
        <v>0</v>
      </c>
      <c r="F343" s="613">
        <v>0</v>
      </c>
      <c r="G343" s="615">
        <v>0</v>
      </c>
      <c r="H343" s="614">
        <v>0</v>
      </c>
      <c r="I343" s="613">
        <v>0</v>
      </c>
      <c r="J343" s="615">
        <v>10000</v>
      </c>
      <c r="K343" s="614">
        <v>0</v>
      </c>
      <c r="L343" s="613">
        <v>0</v>
      </c>
      <c r="M343" s="746"/>
    </row>
    <row r="344" spans="1:13" s="758" customFormat="1" ht="22.5" customHeight="1">
      <c r="A344" s="665"/>
      <c r="B344" s="747"/>
      <c r="C344" s="610"/>
      <c r="D344" s="609"/>
      <c r="E344" s="608"/>
      <c r="F344" s="607"/>
      <c r="G344" s="609"/>
      <c r="H344" s="608"/>
      <c r="I344" s="607"/>
      <c r="J344" s="609"/>
      <c r="K344" s="608"/>
      <c r="L344" s="607"/>
      <c r="M344" s="746"/>
    </row>
    <row r="345" spans="1:13" s="758" customFormat="1" ht="22.5" customHeight="1" thickBot="1">
      <c r="A345" s="731" t="s">
        <v>1813</v>
      </c>
      <c r="B345" s="763" t="s">
        <v>1649</v>
      </c>
      <c r="C345" s="762">
        <f t="shared" ref="C345:L345" si="68">C341-C337</f>
        <v>0</v>
      </c>
      <c r="D345" s="761">
        <f t="shared" si="68"/>
        <v>0</v>
      </c>
      <c r="E345" s="760">
        <f t="shared" si="68"/>
        <v>0</v>
      </c>
      <c r="F345" s="759">
        <f t="shared" si="68"/>
        <v>0</v>
      </c>
      <c r="G345" s="761">
        <f t="shared" si="68"/>
        <v>0</v>
      </c>
      <c r="H345" s="760">
        <f t="shared" si="68"/>
        <v>0</v>
      </c>
      <c r="I345" s="759">
        <f t="shared" si="68"/>
        <v>0</v>
      </c>
      <c r="J345" s="761">
        <f t="shared" si="68"/>
        <v>-640000</v>
      </c>
      <c r="K345" s="760">
        <f t="shared" si="68"/>
        <v>0</v>
      </c>
      <c r="L345" s="759">
        <f t="shared" si="68"/>
        <v>640000</v>
      </c>
      <c r="M345" s="745" t="s">
        <v>1732</v>
      </c>
    </row>
    <row r="346" spans="1:13" s="758" customFormat="1" ht="22.5" customHeight="1">
      <c r="A346" s="704" t="s">
        <v>1826</v>
      </c>
      <c r="B346" s="757" t="s">
        <v>1653</v>
      </c>
      <c r="C346" s="638">
        <f>SUM(C347:C349)</f>
        <v>1155000</v>
      </c>
      <c r="D346" s="636">
        <f>SUM(D347:D349)</f>
        <v>0</v>
      </c>
      <c r="E346" s="635">
        <f>D346-F346</f>
        <v>0</v>
      </c>
      <c r="F346" s="634">
        <f t="shared" ref="F346:L346" si="69">SUM(F347:F349)</f>
        <v>0</v>
      </c>
      <c r="G346" s="636">
        <f t="shared" si="69"/>
        <v>0</v>
      </c>
      <c r="H346" s="635">
        <f t="shared" si="69"/>
        <v>0</v>
      </c>
      <c r="I346" s="634">
        <f t="shared" si="69"/>
        <v>0</v>
      </c>
      <c r="J346" s="636">
        <f t="shared" si="69"/>
        <v>205000</v>
      </c>
      <c r="K346" s="635">
        <f t="shared" si="69"/>
        <v>600000</v>
      </c>
      <c r="L346" s="634">
        <f t="shared" si="69"/>
        <v>350000</v>
      </c>
      <c r="M346" s="756" t="s">
        <v>1713</v>
      </c>
    </row>
    <row r="347" spans="1:13" s="758" customFormat="1" ht="22.5" customHeight="1">
      <c r="A347" s="764" t="s">
        <v>1825</v>
      </c>
      <c r="B347" s="735" t="s">
        <v>1786</v>
      </c>
      <c r="C347" s="631">
        <f>J347+K347+L347+G347+D347</f>
        <v>1150000</v>
      </c>
      <c r="D347" s="629">
        <v>0</v>
      </c>
      <c r="E347" s="628">
        <v>0</v>
      </c>
      <c r="F347" s="627">
        <v>0</v>
      </c>
      <c r="G347" s="629">
        <v>0</v>
      </c>
      <c r="H347" s="628">
        <v>0</v>
      </c>
      <c r="I347" s="627">
        <v>0</v>
      </c>
      <c r="J347" s="629">
        <v>200000</v>
      </c>
      <c r="K347" s="628">
        <v>600000</v>
      </c>
      <c r="L347" s="627">
        <v>350000</v>
      </c>
      <c r="M347" s="746" t="s">
        <v>1820</v>
      </c>
    </row>
    <row r="348" spans="1:13" s="758" customFormat="1" ht="22.5" customHeight="1">
      <c r="A348" s="668" t="s">
        <v>1824</v>
      </c>
      <c r="B348" s="734" t="s">
        <v>1782</v>
      </c>
      <c r="C348" s="616">
        <f>J348+K348+L348+G348+D348</f>
        <v>5000</v>
      </c>
      <c r="D348" s="615">
        <v>0</v>
      </c>
      <c r="E348" s="614">
        <v>0</v>
      </c>
      <c r="F348" s="613">
        <v>0</v>
      </c>
      <c r="G348" s="615">
        <v>0</v>
      </c>
      <c r="H348" s="614">
        <v>0</v>
      </c>
      <c r="I348" s="613">
        <v>0</v>
      </c>
      <c r="J348" s="615">
        <v>5000</v>
      </c>
      <c r="K348" s="614">
        <v>0</v>
      </c>
      <c r="L348" s="613">
        <v>0</v>
      </c>
      <c r="M348" s="746" t="s">
        <v>1818</v>
      </c>
    </row>
    <row r="349" spans="1:13" s="758" customFormat="1" ht="22.5" customHeight="1">
      <c r="A349" s="668" t="s">
        <v>1823</v>
      </c>
      <c r="B349" s="664"/>
      <c r="C349" s="616"/>
      <c r="D349" s="615"/>
      <c r="E349" s="614"/>
      <c r="F349" s="613"/>
      <c r="G349" s="615"/>
      <c r="H349" s="614"/>
      <c r="I349" s="613"/>
      <c r="J349" s="615"/>
      <c r="K349" s="614"/>
      <c r="L349" s="613"/>
      <c r="M349" s="746" t="s">
        <v>1816</v>
      </c>
    </row>
    <row r="350" spans="1:13" s="758" customFormat="1" ht="22.5" customHeight="1">
      <c r="A350" s="668" t="s">
        <v>1815</v>
      </c>
      <c r="B350" s="754" t="s">
        <v>1651</v>
      </c>
      <c r="C350" s="753">
        <f>SUM(C351:C352)</f>
        <v>1155000</v>
      </c>
      <c r="D350" s="751">
        <f>SUM(D351:D352)</f>
        <v>0</v>
      </c>
      <c r="E350" s="750">
        <f>D350-F350</f>
        <v>0</v>
      </c>
      <c r="F350" s="749">
        <f t="shared" ref="F350:L350" si="70">SUM(F351:F352)</f>
        <v>0</v>
      </c>
      <c r="G350" s="751">
        <f t="shared" si="70"/>
        <v>0</v>
      </c>
      <c r="H350" s="750">
        <f t="shared" si="70"/>
        <v>0</v>
      </c>
      <c r="I350" s="749">
        <f t="shared" si="70"/>
        <v>0</v>
      </c>
      <c r="J350" s="751">
        <f t="shared" si="70"/>
        <v>45000</v>
      </c>
      <c r="K350" s="750">
        <f t="shared" si="70"/>
        <v>600000</v>
      </c>
      <c r="L350" s="749">
        <f t="shared" si="70"/>
        <v>510000</v>
      </c>
      <c r="M350" s="746"/>
    </row>
    <row r="351" spans="1:13" s="758" customFormat="1" ht="22.5" customHeight="1">
      <c r="A351" s="668"/>
      <c r="B351" s="748" t="s">
        <v>1786</v>
      </c>
      <c r="C351" s="631">
        <f>J351+K351+L351+G351+D351</f>
        <v>1150000</v>
      </c>
      <c r="D351" s="629">
        <v>0</v>
      </c>
      <c r="E351" s="628">
        <v>0</v>
      </c>
      <c r="F351" s="627">
        <v>0</v>
      </c>
      <c r="G351" s="629">
        <v>0</v>
      </c>
      <c r="H351" s="628">
        <v>0</v>
      </c>
      <c r="I351" s="627">
        <v>0</v>
      </c>
      <c r="J351" s="629">
        <f>200000-160000</f>
        <v>40000</v>
      </c>
      <c r="K351" s="628">
        <v>600000</v>
      </c>
      <c r="L351" s="627">
        <v>510000</v>
      </c>
      <c r="M351" s="746"/>
    </row>
    <row r="352" spans="1:13" s="758" customFormat="1" ht="22.5" customHeight="1">
      <c r="A352" s="668" t="s">
        <v>1814</v>
      </c>
      <c r="B352" s="747" t="s">
        <v>1782</v>
      </c>
      <c r="C352" s="610">
        <f>J352+K352+L352+G352+D352</f>
        <v>5000</v>
      </c>
      <c r="D352" s="609">
        <v>0</v>
      </c>
      <c r="E352" s="608">
        <v>0</v>
      </c>
      <c r="F352" s="607">
        <v>0</v>
      </c>
      <c r="G352" s="609">
        <v>0</v>
      </c>
      <c r="H352" s="608">
        <v>0</v>
      </c>
      <c r="I352" s="607">
        <v>0</v>
      </c>
      <c r="J352" s="609">
        <v>5000</v>
      </c>
      <c r="K352" s="608">
        <v>0</v>
      </c>
      <c r="L352" s="607">
        <v>0</v>
      </c>
      <c r="M352" s="746"/>
    </row>
    <row r="353" spans="1:14" s="758" customFormat="1" ht="22.5" customHeight="1" thickBot="1">
      <c r="A353" s="731" t="s">
        <v>1813</v>
      </c>
      <c r="B353" s="763" t="s">
        <v>1649</v>
      </c>
      <c r="C353" s="762">
        <f t="shared" ref="C353:L353" si="71">C350-C346</f>
        <v>0</v>
      </c>
      <c r="D353" s="761">
        <f t="shared" si="71"/>
        <v>0</v>
      </c>
      <c r="E353" s="760">
        <f t="shared" si="71"/>
        <v>0</v>
      </c>
      <c r="F353" s="759">
        <f t="shared" si="71"/>
        <v>0</v>
      </c>
      <c r="G353" s="761">
        <f t="shared" si="71"/>
        <v>0</v>
      </c>
      <c r="H353" s="760">
        <f t="shared" si="71"/>
        <v>0</v>
      </c>
      <c r="I353" s="759">
        <f t="shared" si="71"/>
        <v>0</v>
      </c>
      <c r="J353" s="761">
        <f t="shared" si="71"/>
        <v>-160000</v>
      </c>
      <c r="K353" s="760">
        <f t="shared" si="71"/>
        <v>0</v>
      </c>
      <c r="L353" s="759">
        <f t="shared" si="71"/>
        <v>160000</v>
      </c>
      <c r="M353" s="745" t="s">
        <v>1732</v>
      </c>
    </row>
    <row r="354" spans="1:14" s="644" customFormat="1" ht="20.25" customHeight="1">
      <c r="A354" s="704" t="s">
        <v>1822</v>
      </c>
      <c r="B354" s="757" t="s">
        <v>1653</v>
      </c>
      <c r="C354" s="638">
        <f>SUM(C355:C357)</f>
        <v>1105000</v>
      </c>
      <c r="D354" s="636">
        <f>SUM(D355:D357)</f>
        <v>0</v>
      </c>
      <c r="E354" s="635">
        <f>D354-F354</f>
        <v>0</v>
      </c>
      <c r="F354" s="637">
        <f t="shared" ref="F354:L354" si="72">SUM(F355:F357)</f>
        <v>0</v>
      </c>
      <c r="G354" s="636">
        <f t="shared" si="72"/>
        <v>0</v>
      </c>
      <c r="H354" s="635">
        <f t="shared" si="72"/>
        <v>0</v>
      </c>
      <c r="I354" s="634">
        <f t="shared" si="72"/>
        <v>0</v>
      </c>
      <c r="J354" s="636">
        <f t="shared" si="72"/>
        <v>205000</v>
      </c>
      <c r="K354" s="635">
        <f t="shared" si="72"/>
        <v>600000</v>
      </c>
      <c r="L354" s="634">
        <f t="shared" si="72"/>
        <v>300000</v>
      </c>
      <c r="M354" s="756" t="s">
        <v>1713</v>
      </c>
    </row>
    <row r="355" spans="1:14" s="644" customFormat="1" ht="20.25" customHeight="1">
      <c r="A355" s="755" t="s">
        <v>1821</v>
      </c>
      <c r="B355" s="735" t="s">
        <v>1786</v>
      </c>
      <c r="C355" s="631">
        <f>J355+K355+L355+G355+D355</f>
        <v>1100000</v>
      </c>
      <c r="D355" s="629">
        <v>0</v>
      </c>
      <c r="E355" s="628">
        <v>0</v>
      </c>
      <c r="F355" s="630">
        <v>0</v>
      </c>
      <c r="G355" s="629">
        <v>0</v>
      </c>
      <c r="H355" s="628">
        <v>0</v>
      </c>
      <c r="I355" s="627">
        <v>0</v>
      </c>
      <c r="J355" s="629">
        <v>200000</v>
      </c>
      <c r="K355" s="628">
        <v>600000</v>
      </c>
      <c r="L355" s="627">
        <v>300000</v>
      </c>
      <c r="M355" s="746" t="s">
        <v>1820</v>
      </c>
    </row>
    <row r="356" spans="1:14" s="644" customFormat="1" ht="20.25" customHeight="1">
      <c r="A356" s="668" t="s">
        <v>1819</v>
      </c>
      <c r="B356" s="734" t="s">
        <v>1782</v>
      </c>
      <c r="C356" s="616">
        <f>J356+K356+L356+G356+D356</f>
        <v>5000</v>
      </c>
      <c r="D356" s="615">
        <v>0</v>
      </c>
      <c r="E356" s="614">
        <v>0</v>
      </c>
      <c r="F356" s="626">
        <v>0</v>
      </c>
      <c r="G356" s="615">
        <v>0</v>
      </c>
      <c r="H356" s="614">
        <v>0</v>
      </c>
      <c r="I356" s="613">
        <v>0</v>
      </c>
      <c r="J356" s="615">
        <v>5000</v>
      </c>
      <c r="K356" s="614">
        <v>0</v>
      </c>
      <c r="L356" s="613">
        <v>0</v>
      </c>
      <c r="M356" s="746" t="s">
        <v>1818</v>
      </c>
    </row>
    <row r="357" spans="1:14" s="644" customFormat="1" ht="20.25" customHeight="1">
      <c r="A357" s="668" t="s">
        <v>1817</v>
      </c>
      <c r="B357" s="664"/>
      <c r="C357" s="616"/>
      <c r="D357" s="615"/>
      <c r="E357" s="614"/>
      <c r="F357" s="626"/>
      <c r="G357" s="615"/>
      <c r="H357" s="614"/>
      <c r="I357" s="613"/>
      <c r="J357" s="615"/>
      <c r="K357" s="614"/>
      <c r="L357" s="613"/>
      <c r="M357" s="746" t="s">
        <v>1816</v>
      </c>
    </row>
    <row r="358" spans="1:14" s="644" customFormat="1" ht="20.25" customHeight="1">
      <c r="A358" s="668" t="s">
        <v>1815</v>
      </c>
      <c r="B358" s="754" t="s">
        <v>1651</v>
      </c>
      <c r="C358" s="753">
        <f>SUM(C359:C360)</f>
        <v>1105000</v>
      </c>
      <c r="D358" s="751">
        <f>SUM(D359:D360)</f>
        <v>0</v>
      </c>
      <c r="E358" s="750">
        <f>D358-F358</f>
        <v>0</v>
      </c>
      <c r="F358" s="752">
        <f t="shared" ref="F358:L358" si="73">SUM(F359:F360)</f>
        <v>0</v>
      </c>
      <c r="G358" s="751">
        <f t="shared" si="73"/>
        <v>0</v>
      </c>
      <c r="H358" s="750">
        <f t="shared" si="73"/>
        <v>0</v>
      </c>
      <c r="I358" s="749">
        <f t="shared" si="73"/>
        <v>0</v>
      </c>
      <c r="J358" s="751">
        <f t="shared" si="73"/>
        <v>45000</v>
      </c>
      <c r="K358" s="750">
        <f t="shared" si="73"/>
        <v>600000</v>
      </c>
      <c r="L358" s="749">
        <f t="shared" si="73"/>
        <v>460000</v>
      </c>
      <c r="M358" s="746"/>
    </row>
    <row r="359" spans="1:14" s="644" customFormat="1" ht="20.25" customHeight="1">
      <c r="A359" s="668"/>
      <c r="B359" s="748" t="s">
        <v>1786</v>
      </c>
      <c r="C359" s="631">
        <f>J359+K359+L359+G359+D359</f>
        <v>1100000</v>
      </c>
      <c r="D359" s="629">
        <v>0</v>
      </c>
      <c r="E359" s="628">
        <v>0</v>
      </c>
      <c r="F359" s="630">
        <v>0</v>
      </c>
      <c r="G359" s="629">
        <v>0</v>
      </c>
      <c r="H359" s="628">
        <v>0</v>
      </c>
      <c r="I359" s="627">
        <v>0</v>
      </c>
      <c r="J359" s="629">
        <f>200000-160000</f>
        <v>40000</v>
      </c>
      <c r="K359" s="628">
        <v>600000</v>
      </c>
      <c r="L359" s="627">
        <v>460000</v>
      </c>
      <c r="M359" s="746"/>
    </row>
    <row r="360" spans="1:14" s="644" customFormat="1" ht="20.25" customHeight="1">
      <c r="A360" s="668" t="s">
        <v>1814</v>
      </c>
      <c r="B360" s="747" t="s">
        <v>1782</v>
      </c>
      <c r="C360" s="610">
        <f>J360+K360+L360+G360+D360</f>
        <v>5000</v>
      </c>
      <c r="D360" s="609">
        <v>0</v>
      </c>
      <c r="E360" s="608">
        <v>0</v>
      </c>
      <c r="F360" s="642">
        <v>0</v>
      </c>
      <c r="G360" s="609">
        <v>0</v>
      </c>
      <c r="H360" s="608">
        <v>0</v>
      </c>
      <c r="I360" s="607">
        <v>0</v>
      </c>
      <c r="J360" s="609">
        <v>5000</v>
      </c>
      <c r="K360" s="608">
        <v>0</v>
      </c>
      <c r="L360" s="607">
        <v>0</v>
      </c>
      <c r="M360" s="746"/>
    </row>
    <row r="361" spans="1:14" s="644" customFormat="1" ht="20.25" customHeight="1" thickBot="1">
      <c r="A361" s="731" t="s">
        <v>1813</v>
      </c>
      <c r="B361" s="730" t="s">
        <v>1649</v>
      </c>
      <c r="C361" s="603">
        <f t="shared" ref="C361:L361" si="74">C358-C354</f>
        <v>0</v>
      </c>
      <c r="D361" s="602">
        <f t="shared" si="74"/>
        <v>0</v>
      </c>
      <c r="E361" s="601">
        <f t="shared" si="74"/>
        <v>0</v>
      </c>
      <c r="F361" s="641">
        <f t="shared" si="74"/>
        <v>0</v>
      </c>
      <c r="G361" s="602">
        <f t="shared" si="74"/>
        <v>0</v>
      </c>
      <c r="H361" s="601">
        <f t="shared" si="74"/>
        <v>0</v>
      </c>
      <c r="I361" s="600">
        <f t="shared" si="74"/>
        <v>0</v>
      </c>
      <c r="J361" s="602">
        <f t="shared" si="74"/>
        <v>-160000</v>
      </c>
      <c r="K361" s="601">
        <f t="shared" si="74"/>
        <v>0</v>
      </c>
      <c r="L361" s="600">
        <f t="shared" si="74"/>
        <v>160000</v>
      </c>
      <c r="M361" s="745" t="s">
        <v>1732</v>
      </c>
    </row>
    <row r="362" spans="1:14" s="644" customFormat="1" ht="20.25" customHeight="1">
      <c r="A362" s="704" t="s">
        <v>1812</v>
      </c>
      <c r="B362" s="744" t="s">
        <v>1653</v>
      </c>
      <c r="C362" s="743">
        <v>774732000</v>
      </c>
      <c r="D362" s="741">
        <f t="shared" ref="D362:I362" si="75">D363+D364+D365</f>
        <v>371688400</v>
      </c>
      <c r="E362" s="740">
        <f t="shared" si="75"/>
        <v>371669411</v>
      </c>
      <c r="F362" s="742">
        <f t="shared" si="75"/>
        <v>18989</v>
      </c>
      <c r="G362" s="741">
        <f t="shared" si="75"/>
        <v>104439000</v>
      </c>
      <c r="H362" s="740">
        <f t="shared" si="75"/>
        <v>48746136</v>
      </c>
      <c r="I362" s="739">
        <f t="shared" si="75"/>
        <v>55692864</v>
      </c>
      <c r="J362" s="741">
        <f>J363+J364+J365+J366</f>
        <v>61459000</v>
      </c>
      <c r="K362" s="740">
        <v>237145600</v>
      </c>
      <c r="L362" s="739">
        <v>0</v>
      </c>
      <c r="M362" s="738" t="s">
        <v>1811</v>
      </c>
      <c r="N362" s="690"/>
    </row>
    <row r="363" spans="1:14" s="644" customFormat="1" ht="20.25" customHeight="1">
      <c r="A363" s="668" t="s">
        <v>1810</v>
      </c>
      <c r="B363" s="735" t="s">
        <v>1786</v>
      </c>
      <c r="C363" s="631">
        <v>749189000</v>
      </c>
      <c r="D363" s="629">
        <v>361398667</v>
      </c>
      <c r="E363" s="628">
        <v>361398667</v>
      </c>
      <c r="F363" s="630"/>
      <c r="G363" s="629">
        <v>101699000</v>
      </c>
      <c r="H363" s="628">
        <v>46550808</v>
      </c>
      <c r="I363" s="627">
        <f>G363-H363</f>
        <v>55148192</v>
      </c>
      <c r="J363" s="629">
        <v>58299700</v>
      </c>
      <c r="K363" s="628">
        <v>227791633</v>
      </c>
      <c r="L363" s="627">
        <v>0</v>
      </c>
      <c r="M363" s="737" t="s">
        <v>1809</v>
      </c>
      <c r="N363" s="690"/>
    </row>
    <row r="364" spans="1:14" s="644" customFormat="1" ht="20.25" customHeight="1">
      <c r="A364" s="668" t="s">
        <v>1808</v>
      </c>
      <c r="B364" s="734" t="s">
        <v>1784</v>
      </c>
      <c r="C364" s="616">
        <v>19668000</v>
      </c>
      <c r="D364" s="615">
        <v>9681610</v>
      </c>
      <c r="E364" s="614">
        <v>9681610</v>
      </c>
      <c r="F364" s="626"/>
      <c r="G364" s="615">
        <v>2700000</v>
      </c>
      <c r="H364" s="614">
        <v>1949631</v>
      </c>
      <c r="I364" s="613">
        <f>G364-H364</f>
        <v>750369</v>
      </c>
      <c r="J364" s="615">
        <v>2809300</v>
      </c>
      <c r="K364" s="614">
        <v>4477090</v>
      </c>
      <c r="L364" s="613">
        <v>0</v>
      </c>
      <c r="M364" s="677" t="s">
        <v>1807</v>
      </c>
      <c r="N364" s="690"/>
    </row>
    <row r="365" spans="1:14" s="644" customFormat="1" ht="20.25" customHeight="1">
      <c r="A365" s="668" t="s">
        <v>1806</v>
      </c>
      <c r="B365" s="734" t="s">
        <v>1782</v>
      </c>
      <c r="C365" s="616">
        <v>5875000</v>
      </c>
      <c r="D365" s="615">
        <v>608123</v>
      </c>
      <c r="E365" s="614">
        <v>589134</v>
      </c>
      <c r="F365" s="626">
        <f>D365-E365</f>
        <v>18989</v>
      </c>
      <c r="G365" s="615">
        <v>40000</v>
      </c>
      <c r="H365" s="614">
        <v>245697</v>
      </c>
      <c r="I365" s="613">
        <f>G365-H365</f>
        <v>-205697</v>
      </c>
      <c r="J365" s="615">
        <v>230000</v>
      </c>
      <c r="K365" s="614">
        <v>4996877</v>
      </c>
      <c r="L365" s="613">
        <v>0</v>
      </c>
      <c r="M365" s="689" t="s">
        <v>1805</v>
      </c>
      <c r="N365" s="690"/>
    </row>
    <row r="366" spans="1:14" s="644" customFormat="1" ht="20.25" customHeight="1">
      <c r="A366" s="668"/>
      <c r="B366" s="733" t="s">
        <v>1797</v>
      </c>
      <c r="C366" s="616">
        <v>0</v>
      </c>
      <c r="D366" s="615">
        <v>0</v>
      </c>
      <c r="E366" s="614">
        <v>0</v>
      </c>
      <c r="F366" s="626">
        <v>0</v>
      </c>
      <c r="G366" s="615">
        <v>0</v>
      </c>
      <c r="H366" s="614">
        <v>0</v>
      </c>
      <c r="I366" s="613">
        <v>0</v>
      </c>
      <c r="J366" s="615">
        <v>120000</v>
      </c>
      <c r="K366" s="614">
        <v>0</v>
      </c>
      <c r="L366" s="613">
        <v>0</v>
      </c>
      <c r="M366" s="677" t="s">
        <v>1804</v>
      </c>
      <c r="N366" s="690"/>
    </row>
    <row r="367" spans="1:14" s="644" customFormat="1" ht="20.25" customHeight="1">
      <c r="A367" s="668" t="s">
        <v>1803</v>
      </c>
      <c r="B367" s="736" t="s">
        <v>1651</v>
      </c>
      <c r="C367" s="623">
        <f>C368+C369+C370+C371</f>
        <v>893478000</v>
      </c>
      <c r="D367" s="621">
        <f t="shared" ref="D367:I367" si="76">D368+D369+D370</f>
        <v>399580400</v>
      </c>
      <c r="E367" s="620">
        <f t="shared" si="76"/>
        <v>371669411</v>
      </c>
      <c r="F367" s="622">
        <f t="shared" si="76"/>
        <v>27910989</v>
      </c>
      <c r="G367" s="621">
        <f t="shared" si="76"/>
        <v>104439000</v>
      </c>
      <c r="H367" s="620">
        <f t="shared" si="76"/>
        <v>48746136</v>
      </c>
      <c r="I367" s="619">
        <f t="shared" si="76"/>
        <v>55692864</v>
      </c>
      <c r="J367" s="621">
        <f>J368+J369+J370+J371</f>
        <v>75745000</v>
      </c>
      <c r="K367" s="620">
        <f>K368+K369+K370+K371</f>
        <v>123300000</v>
      </c>
      <c r="L367" s="619">
        <f>L368+L369+L370+L371</f>
        <v>190413600</v>
      </c>
      <c r="M367" s="677" t="s">
        <v>1802</v>
      </c>
    </row>
    <row r="368" spans="1:14" s="644" customFormat="1" ht="20.25" customHeight="1">
      <c r="A368" s="668" t="s">
        <v>1801</v>
      </c>
      <c r="B368" s="735" t="s">
        <v>1786</v>
      </c>
      <c r="C368" s="631">
        <v>859761000</v>
      </c>
      <c r="D368" s="629">
        <v>389095029</v>
      </c>
      <c r="E368" s="628">
        <v>361603736</v>
      </c>
      <c r="F368" s="630">
        <f>D368-E368</f>
        <v>27491293</v>
      </c>
      <c r="G368" s="629">
        <v>101219000</v>
      </c>
      <c r="H368" s="628">
        <v>46550808</v>
      </c>
      <c r="I368" s="627">
        <f>G368-H368</f>
        <v>54668192</v>
      </c>
      <c r="J368" s="629">
        <v>70755000</v>
      </c>
      <c r="K368" s="628">
        <v>120423299</v>
      </c>
      <c r="L368" s="627">
        <f>C368-D368-G368-J368-K368</f>
        <v>178268672</v>
      </c>
      <c r="M368" s="732" t="s">
        <v>1800</v>
      </c>
    </row>
    <row r="369" spans="1:14" s="644" customFormat="1" ht="20.25" customHeight="1">
      <c r="A369" s="668"/>
      <c r="B369" s="734" t="s">
        <v>1784</v>
      </c>
      <c r="C369" s="616">
        <v>29777000</v>
      </c>
      <c r="D369" s="615">
        <v>9877248</v>
      </c>
      <c r="E369" s="614">
        <v>9476541</v>
      </c>
      <c r="F369" s="626">
        <f>D369-E369</f>
        <v>400707</v>
      </c>
      <c r="G369" s="615">
        <v>2700000</v>
      </c>
      <c r="H369" s="614">
        <v>1949631</v>
      </c>
      <c r="I369" s="613">
        <f>G369-H369</f>
        <v>750369</v>
      </c>
      <c r="J369" s="615">
        <v>4200000</v>
      </c>
      <c r="K369" s="614">
        <v>2476701</v>
      </c>
      <c r="L369" s="613">
        <f>C369-D369-G369-J369-K369</f>
        <v>10523051</v>
      </c>
      <c r="M369" s="677" t="s">
        <v>1799</v>
      </c>
    </row>
    <row r="370" spans="1:14" s="644" customFormat="1" ht="20.25" customHeight="1">
      <c r="A370" s="665" t="s">
        <v>1769</v>
      </c>
      <c r="B370" s="734" t="s">
        <v>1782</v>
      </c>
      <c r="C370" s="616">
        <v>3820000</v>
      </c>
      <c r="D370" s="615">
        <v>608123</v>
      </c>
      <c r="E370" s="614">
        <v>589134</v>
      </c>
      <c r="F370" s="626">
        <f>D370-E370</f>
        <v>18989</v>
      </c>
      <c r="G370" s="615">
        <v>520000</v>
      </c>
      <c r="H370" s="614">
        <v>245697</v>
      </c>
      <c r="I370" s="613">
        <f>G370-H370</f>
        <v>274303</v>
      </c>
      <c r="J370" s="615">
        <v>670000</v>
      </c>
      <c r="K370" s="614">
        <v>400000</v>
      </c>
      <c r="L370" s="613">
        <f>C370-D370-G370-J370-K370</f>
        <v>1621877</v>
      </c>
      <c r="M370" s="732" t="s">
        <v>1798</v>
      </c>
    </row>
    <row r="371" spans="1:14" s="644" customFormat="1" ht="20.25" customHeight="1">
      <c r="A371" s="665"/>
      <c r="B371" s="733" t="s">
        <v>1797</v>
      </c>
      <c r="C371" s="610">
        <v>120000</v>
      </c>
      <c r="D371" s="609">
        <v>0</v>
      </c>
      <c r="E371" s="608">
        <v>0</v>
      </c>
      <c r="F371" s="642">
        <v>0</v>
      </c>
      <c r="G371" s="609">
        <v>0</v>
      </c>
      <c r="H371" s="608">
        <v>0</v>
      </c>
      <c r="I371" s="607">
        <f>G371-H371</f>
        <v>0</v>
      </c>
      <c r="J371" s="609">
        <v>120000</v>
      </c>
      <c r="K371" s="608">
        <v>0</v>
      </c>
      <c r="L371" s="607">
        <f>C371-D371-G371-J371-K371</f>
        <v>0</v>
      </c>
      <c r="M371" s="732"/>
    </row>
    <row r="372" spans="1:14" s="644" customFormat="1" ht="20.25" customHeight="1" thickBot="1">
      <c r="A372" s="731"/>
      <c r="B372" s="730" t="s">
        <v>1649</v>
      </c>
      <c r="C372" s="603">
        <f t="shared" ref="C372:L372" si="77">C367-C362</f>
        <v>118746000</v>
      </c>
      <c r="D372" s="602">
        <f t="shared" si="77"/>
        <v>27892000</v>
      </c>
      <c r="E372" s="601">
        <f t="shared" si="77"/>
        <v>0</v>
      </c>
      <c r="F372" s="641">
        <f t="shared" si="77"/>
        <v>27892000</v>
      </c>
      <c r="G372" s="602">
        <f t="shared" si="77"/>
        <v>0</v>
      </c>
      <c r="H372" s="601">
        <f t="shared" si="77"/>
        <v>0</v>
      </c>
      <c r="I372" s="600">
        <f t="shared" si="77"/>
        <v>0</v>
      </c>
      <c r="J372" s="602">
        <f t="shared" si="77"/>
        <v>14286000</v>
      </c>
      <c r="K372" s="601">
        <f t="shared" si="77"/>
        <v>-113845600</v>
      </c>
      <c r="L372" s="600">
        <f t="shared" si="77"/>
        <v>190413600</v>
      </c>
      <c r="M372" s="705" t="s">
        <v>1796</v>
      </c>
    </row>
    <row r="373" spans="1:14" s="644" customFormat="1" ht="20.25" customHeight="1">
      <c r="A373" s="729" t="s">
        <v>1795</v>
      </c>
      <c r="B373" s="703" t="s">
        <v>1653</v>
      </c>
      <c r="C373" s="702">
        <v>1540100000</v>
      </c>
      <c r="D373" s="727">
        <v>2700000</v>
      </c>
      <c r="E373" s="726">
        <v>1972853</v>
      </c>
      <c r="F373" s="728">
        <v>727147</v>
      </c>
      <c r="G373" s="727">
        <v>0</v>
      </c>
      <c r="H373" s="726">
        <v>0</v>
      </c>
      <c r="I373" s="695">
        <v>0</v>
      </c>
      <c r="J373" s="697">
        <v>2500000</v>
      </c>
      <c r="K373" s="726">
        <v>0</v>
      </c>
      <c r="L373" s="695">
        <v>1534900000</v>
      </c>
      <c r="M373" s="725" t="s">
        <v>1794</v>
      </c>
    </row>
    <row r="374" spans="1:14" s="644" customFormat="1" ht="20.25" customHeight="1">
      <c r="A374" s="722" t="s">
        <v>1793</v>
      </c>
      <c r="B374" s="724" t="s">
        <v>1786</v>
      </c>
      <c r="C374" s="676">
        <v>1540050000</v>
      </c>
      <c r="D374" s="714">
        <v>2670000</v>
      </c>
      <c r="E374" s="693">
        <v>1960568</v>
      </c>
      <c r="F374" s="715">
        <v>709432</v>
      </c>
      <c r="G374" s="714">
        <v>0</v>
      </c>
      <c r="H374" s="693">
        <v>0</v>
      </c>
      <c r="I374" s="692">
        <v>0</v>
      </c>
      <c r="J374" s="694">
        <v>2480000</v>
      </c>
      <c r="K374" s="693">
        <v>0</v>
      </c>
      <c r="L374" s="692">
        <v>1534900000</v>
      </c>
      <c r="M374" s="691" t="s">
        <v>1792</v>
      </c>
      <c r="N374" s="690"/>
    </row>
    <row r="375" spans="1:14" s="644" customFormat="1" ht="20.25" customHeight="1">
      <c r="A375" s="722" t="s">
        <v>1791</v>
      </c>
      <c r="B375" s="711" t="s">
        <v>1784</v>
      </c>
      <c r="C375" s="663">
        <v>0</v>
      </c>
      <c r="D375" s="709">
        <v>0</v>
      </c>
      <c r="E375" s="655">
        <v>0</v>
      </c>
      <c r="F375" s="710">
        <v>0</v>
      </c>
      <c r="G375" s="709">
        <v>0</v>
      </c>
      <c r="H375" s="655">
        <v>0</v>
      </c>
      <c r="I375" s="666">
        <v>0</v>
      </c>
      <c r="J375" s="656">
        <v>0</v>
      </c>
      <c r="K375" s="655">
        <v>0</v>
      </c>
      <c r="L375" s="666">
        <v>0</v>
      </c>
      <c r="M375" s="677"/>
    </row>
    <row r="376" spans="1:14" s="644" customFormat="1" ht="20.25" customHeight="1">
      <c r="A376" s="723" t="s">
        <v>1790</v>
      </c>
      <c r="B376" s="711" t="s">
        <v>1782</v>
      </c>
      <c r="C376" s="663">
        <v>50000</v>
      </c>
      <c r="D376" s="709">
        <v>30000</v>
      </c>
      <c r="E376" s="655">
        <v>12285</v>
      </c>
      <c r="F376" s="710">
        <v>17715</v>
      </c>
      <c r="G376" s="709">
        <v>0</v>
      </c>
      <c r="H376" s="655">
        <v>0</v>
      </c>
      <c r="I376" s="666">
        <v>0</v>
      </c>
      <c r="J376" s="656">
        <v>20000</v>
      </c>
      <c r="K376" s="655">
        <v>0</v>
      </c>
      <c r="L376" s="666">
        <v>0</v>
      </c>
      <c r="M376" s="689" t="s">
        <v>1789</v>
      </c>
    </row>
    <row r="377" spans="1:14" s="644" customFormat="1" ht="20.25" customHeight="1">
      <c r="A377" s="722" t="s">
        <v>1788</v>
      </c>
      <c r="B377" s="687" t="s">
        <v>1651</v>
      </c>
      <c r="C377" s="721">
        <v>1887593000</v>
      </c>
      <c r="D377" s="719">
        <f t="shared" ref="D377:L377" si="78">SUM(D378:D380)</f>
        <v>2700000</v>
      </c>
      <c r="E377" s="718">
        <f t="shared" si="78"/>
        <v>2057996</v>
      </c>
      <c r="F377" s="720">
        <f t="shared" si="78"/>
        <v>642004</v>
      </c>
      <c r="G377" s="719">
        <f t="shared" si="78"/>
        <v>0</v>
      </c>
      <c r="H377" s="718">
        <f t="shared" si="78"/>
        <v>0</v>
      </c>
      <c r="I377" s="717">
        <f t="shared" si="78"/>
        <v>0</v>
      </c>
      <c r="J377" s="680">
        <f t="shared" si="78"/>
        <v>0</v>
      </c>
      <c r="K377" s="679">
        <f t="shared" si="78"/>
        <v>48500000</v>
      </c>
      <c r="L377" s="678">
        <f t="shared" si="78"/>
        <v>1836393000</v>
      </c>
      <c r="M377" s="677" t="s">
        <v>1787</v>
      </c>
    </row>
    <row r="378" spans="1:14" s="644" customFormat="1" ht="20.25" customHeight="1">
      <c r="A378" s="716" t="s">
        <v>1769</v>
      </c>
      <c r="B378" s="711" t="s">
        <v>1786</v>
      </c>
      <c r="C378" s="663">
        <v>1805124000</v>
      </c>
      <c r="D378" s="714">
        <v>2670000</v>
      </c>
      <c r="E378" s="693">
        <v>2045711</v>
      </c>
      <c r="F378" s="715">
        <f>D378-E378</f>
        <v>624289</v>
      </c>
      <c r="G378" s="714">
        <v>0</v>
      </c>
      <c r="H378" s="693">
        <v>0</v>
      </c>
      <c r="I378" s="692">
        <v>0</v>
      </c>
      <c r="J378" s="656">
        <v>0</v>
      </c>
      <c r="K378" s="655">
        <v>47700000</v>
      </c>
      <c r="L378" s="666">
        <f>C378-D378-K378</f>
        <v>1754754000</v>
      </c>
      <c r="M378" s="677" t="s">
        <v>1785</v>
      </c>
    </row>
    <row r="379" spans="1:14" s="644" customFormat="1" ht="20.25" customHeight="1">
      <c r="A379" s="713"/>
      <c r="B379" s="711" t="s">
        <v>1784</v>
      </c>
      <c r="C379" s="663">
        <v>69331000</v>
      </c>
      <c r="D379" s="709">
        <v>0</v>
      </c>
      <c r="E379" s="655">
        <v>0</v>
      </c>
      <c r="F379" s="710">
        <v>0</v>
      </c>
      <c r="G379" s="709">
        <v>0</v>
      </c>
      <c r="H379" s="655">
        <v>0</v>
      </c>
      <c r="I379" s="666">
        <v>0</v>
      </c>
      <c r="J379" s="656">
        <v>0</v>
      </c>
      <c r="K379" s="655">
        <v>600000</v>
      </c>
      <c r="L379" s="666">
        <f>C379-D379-K379</f>
        <v>68731000</v>
      </c>
      <c r="M379" s="677" t="s">
        <v>1783</v>
      </c>
    </row>
    <row r="380" spans="1:14" s="644" customFormat="1" ht="20.25" customHeight="1">
      <c r="A380" s="712"/>
      <c r="B380" s="711" t="s">
        <v>1782</v>
      </c>
      <c r="C380" s="663">
        <v>13138000</v>
      </c>
      <c r="D380" s="709">
        <v>30000</v>
      </c>
      <c r="E380" s="655">
        <v>12285</v>
      </c>
      <c r="F380" s="710">
        <f>D380-E380</f>
        <v>17715</v>
      </c>
      <c r="G380" s="709">
        <v>0</v>
      </c>
      <c r="H380" s="655">
        <v>0</v>
      </c>
      <c r="I380" s="666">
        <v>0</v>
      </c>
      <c r="J380" s="656">
        <v>0</v>
      </c>
      <c r="K380" s="655">
        <v>200000</v>
      </c>
      <c r="L380" s="666">
        <f>C380-D380-K380</f>
        <v>12908000</v>
      </c>
      <c r="M380" s="677"/>
    </row>
    <row r="381" spans="1:14" s="644" customFormat="1" ht="20.25" customHeight="1" thickBot="1">
      <c r="A381" s="708"/>
      <c r="B381" s="651" t="s">
        <v>1649</v>
      </c>
      <c r="C381" s="650">
        <f t="shared" ref="C381:L381" si="79">C377-C373</f>
        <v>347493000</v>
      </c>
      <c r="D381" s="648">
        <f t="shared" si="79"/>
        <v>0</v>
      </c>
      <c r="E381" s="646">
        <f t="shared" si="79"/>
        <v>85143</v>
      </c>
      <c r="F381" s="707">
        <f t="shared" si="79"/>
        <v>-85143</v>
      </c>
      <c r="G381" s="648">
        <f t="shared" si="79"/>
        <v>0</v>
      </c>
      <c r="H381" s="646">
        <f t="shared" si="79"/>
        <v>0</v>
      </c>
      <c r="I381" s="706">
        <f t="shared" si="79"/>
        <v>0</v>
      </c>
      <c r="J381" s="647">
        <f t="shared" si="79"/>
        <v>-2500000</v>
      </c>
      <c r="K381" s="646">
        <f t="shared" si="79"/>
        <v>48500000</v>
      </c>
      <c r="L381" s="706">
        <f t="shared" si="79"/>
        <v>301493000</v>
      </c>
      <c r="M381" s="705" t="s">
        <v>1767</v>
      </c>
    </row>
    <row r="382" spans="1:14" s="644" customFormat="1" ht="18.75" customHeight="1">
      <c r="A382" s="704" t="s">
        <v>1781</v>
      </c>
      <c r="B382" s="703" t="s">
        <v>1653</v>
      </c>
      <c r="C382" s="702">
        <f>D382+G382+J382+K382+L382</f>
        <v>2103200000</v>
      </c>
      <c r="D382" s="701">
        <v>75800000</v>
      </c>
      <c r="E382" s="701">
        <v>2765284</v>
      </c>
      <c r="F382" s="700">
        <v>73034716</v>
      </c>
      <c r="G382" s="699">
        <f>SUM(G383:G385)</f>
        <v>0</v>
      </c>
      <c r="H382" s="696">
        <f>SUM(H383:H385)</f>
        <v>0</v>
      </c>
      <c r="I382" s="698">
        <f>SUM(I383:I385)</f>
        <v>0</v>
      </c>
      <c r="J382" s="697">
        <f>SUM(J383:J385)</f>
        <v>10255000</v>
      </c>
      <c r="K382" s="696">
        <f>SUM(K383:K385)</f>
        <v>0</v>
      </c>
      <c r="L382" s="695">
        <v>2017145000</v>
      </c>
      <c r="M382" s="576" t="s">
        <v>1713</v>
      </c>
    </row>
    <row r="383" spans="1:14" s="644" customFormat="1" ht="18.75" customHeight="1">
      <c r="A383" s="668" t="s">
        <v>1780</v>
      </c>
      <c r="B383" s="664" t="s">
        <v>430</v>
      </c>
      <c r="C383" s="676">
        <v>2102415000</v>
      </c>
      <c r="D383" s="675">
        <v>75770000</v>
      </c>
      <c r="E383" s="674">
        <v>2745547</v>
      </c>
      <c r="F383" s="673">
        <v>73024453</v>
      </c>
      <c r="G383" s="672">
        <v>0</v>
      </c>
      <c r="H383" s="671">
        <v>0</v>
      </c>
      <c r="I383" s="670">
        <v>0</v>
      </c>
      <c r="J383" s="694">
        <v>9500000</v>
      </c>
      <c r="K383" s="693">
        <v>0</v>
      </c>
      <c r="L383" s="692">
        <v>2017145000</v>
      </c>
      <c r="M383" s="691" t="s">
        <v>1779</v>
      </c>
      <c r="N383" s="690"/>
    </row>
    <row r="384" spans="1:14" s="644" customFormat="1" ht="18.75" customHeight="1">
      <c r="A384" s="668" t="s">
        <v>1778</v>
      </c>
      <c r="B384" s="664" t="s">
        <v>432</v>
      </c>
      <c r="C384" s="663">
        <v>700000</v>
      </c>
      <c r="D384" s="659">
        <v>0</v>
      </c>
      <c r="E384" s="658">
        <v>0</v>
      </c>
      <c r="F384" s="667">
        <v>0</v>
      </c>
      <c r="G384" s="659">
        <v>0</v>
      </c>
      <c r="H384" s="658">
        <v>0</v>
      </c>
      <c r="I384" s="657">
        <v>0</v>
      </c>
      <c r="J384" s="656">
        <v>700000</v>
      </c>
      <c r="K384" s="655">
        <v>0</v>
      </c>
      <c r="L384" s="666">
        <v>0</v>
      </c>
      <c r="M384" s="689" t="s">
        <v>1777</v>
      </c>
    </row>
    <row r="385" spans="1:14" s="644" customFormat="1" ht="18.75" customHeight="1">
      <c r="A385" s="668" t="s">
        <v>1776</v>
      </c>
      <c r="B385" s="664" t="s">
        <v>434</v>
      </c>
      <c r="C385" s="663">
        <v>85000</v>
      </c>
      <c r="D385" s="662">
        <v>30000</v>
      </c>
      <c r="E385" s="661">
        <v>19737</v>
      </c>
      <c r="F385" s="660">
        <v>10263</v>
      </c>
      <c r="G385" s="659">
        <v>0</v>
      </c>
      <c r="H385" s="658">
        <v>0</v>
      </c>
      <c r="I385" s="657">
        <v>0</v>
      </c>
      <c r="J385" s="656">
        <v>55000</v>
      </c>
      <c r="K385" s="655">
        <v>0</v>
      </c>
      <c r="L385" s="666">
        <v>0</v>
      </c>
      <c r="M385" s="677" t="s">
        <v>1775</v>
      </c>
      <c r="N385" s="688"/>
    </row>
    <row r="386" spans="1:14" s="644" customFormat="1" ht="18.75" customHeight="1">
      <c r="A386" s="668" t="s">
        <v>1774</v>
      </c>
      <c r="B386" s="687" t="s">
        <v>1651</v>
      </c>
      <c r="C386" s="686">
        <f>D386+G386+J386+K386+L386</f>
        <v>2933425000</v>
      </c>
      <c r="D386" s="685">
        <f t="shared" ref="D386:J386" si="80">SUM(D387:D389)</f>
        <v>3800000</v>
      </c>
      <c r="E386" s="685">
        <f t="shared" si="80"/>
        <v>2765284</v>
      </c>
      <c r="F386" s="684">
        <f t="shared" si="80"/>
        <v>1034716</v>
      </c>
      <c r="G386" s="683">
        <f t="shared" si="80"/>
        <v>0</v>
      </c>
      <c r="H386" s="682">
        <f t="shared" si="80"/>
        <v>0</v>
      </c>
      <c r="I386" s="681">
        <f t="shared" si="80"/>
        <v>0</v>
      </c>
      <c r="J386" s="680">
        <f t="shared" si="80"/>
        <v>0</v>
      </c>
      <c r="K386" s="679">
        <v>300255000</v>
      </c>
      <c r="L386" s="678">
        <v>2629370000</v>
      </c>
      <c r="M386" s="677" t="s">
        <v>1773</v>
      </c>
    </row>
    <row r="387" spans="1:14" s="644" customFormat="1" ht="18.75" customHeight="1">
      <c r="A387" s="668" t="s">
        <v>1772</v>
      </c>
      <c r="B387" s="664" t="s">
        <v>430</v>
      </c>
      <c r="C387" s="676">
        <v>2840501000</v>
      </c>
      <c r="D387" s="675">
        <v>3770000</v>
      </c>
      <c r="E387" s="674">
        <v>2745547</v>
      </c>
      <c r="F387" s="673">
        <f>D387-E387</f>
        <v>1024453</v>
      </c>
      <c r="G387" s="672">
        <v>0</v>
      </c>
      <c r="H387" s="671">
        <v>0</v>
      </c>
      <c r="I387" s="670">
        <v>0</v>
      </c>
      <c r="J387" s="656">
        <v>0</v>
      </c>
      <c r="K387" s="655">
        <v>291200000</v>
      </c>
      <c r="L387" s="666">
        <v>2545531000</v>
      </c>
      <c r="M387" s="669" t="s">
        <v>1771</v>
      </c>
    </row>
    <row r="388" spans="1:14" s="644" customFormat="1" ht="18.75" customHeight="1">
      <c r="A388" s="668"/>
      <c r="B388" s="664" t="s">
        <v>432</v>
      </c>
      <c r="C388" s="663">
        <v>88109000</v>
      </c>
      <c r="D388" s="659">
        <v>0</v>
      </c>
      <c r="E388" s="658">
        <v>0</v>
      </c>
      <c r="F388" s="667">
        <v>0</v>
      </c>
      <c r="G388" s="659">
        <v>0</v>
      </c>
      <c r="H388" s="658">
        <v>0</v>
      </c>
      <c r="I388" s="657">
        <v>0</v>
      </c>
      <c r="J388" s="656">
        <v>0</v>
      </c>
      <c r="K388" s="655">
        <v>8700000</v>
      </c>
      <c r="L388" s="666">
        <v>79409000</v>
      </c>
      <c r="M388" s="653" t="s">
        <v>1770</v>
      </c>
    </row>
    <row r="389" spans="1:14" s="644" customFormat="1" ht="18.75" customHeight="1">
      <c r="A389" s="665" t="s">
        <v>1769</v>
      </c>
      <c r="B389" s="664" t="s">
        <v>434</v>
      </c>
      <c r="C389" s="663">
        <v>4815000</v>
      </c>
      <c r="D389" s="662">
        <v>30000</v>
      </c>
      <c r="E389" s="661">
        <v>19737</v>
      </c>
      <c r="F389" s="660">
        <f>D389-E389</f>
        <v>10263</v>
      </c>
      <c r="G389" s="659">
        <v>0</v>
      </c>
      <c r="H389" s="658">
        <v>0</v>
      </c>
      <c r="I389" s="657">
        <v>0</v>
      </c>
      <c r="J389" s="656">
        <v>0</v>
      </c>
      <c r="K389" s="655">
        <v>355000</v>
      </c>
      <c r="L389" s="654">
        <v>4430000</v>
      </c>
      <c r="M389" s="653" t="s">
        <v>1768</v>
      </c>
    </row>
    <row r="390" spans="1:14" s="644" customFormat="1" ht="18.75" customHeight="1" thickBot="1">
      <c r="A390" s="652"/>
      <c r="B390" s="651" t="s">
        <v>1649</v>
      </c>
      <c r="C390" s="650">
        <f t="shared" ref="C390:L390" si="81">C386-C382</f>
        <v>830225000</v>
      </c>
      <c r="D390" s="647">
        <f t="shared" si="81"/>
        <v>-72000000</v>
      </c>
      <c r="E390" s="647">
        <f t="shared" si="81"/>
        <v>0</v>
      </c>
      <c r="F390" s="649">
        <f t="shared" si="81"/>
        <v>-72000000</v>
      </c>
      <c r="G390" s="648">
        <f t="shared" si="81"/>
        <v>0</v>
      </c>
      <c r="H390" s="647">
        <f t="shared" si="81"/>
        <v>0</v>
      </c>
      <c r="I390" s="647">
        <f t="shared" si="81"/>
        <v>0</v>
      </c>
      <c r="J390" s="647">
        <f t="shared" si="81"/>
        <v>-10255000</v>
      </c>
      <c r="K390" s="647">
        <f t="shared" si="81"/>
        <v>300255000</v>
      </c>
      <c r="L390" s="646">
        <f t="shared" si="81"/>
        <v>612225000</v>
      </c>
      <c r="M390" s="645" t="s">
        <v>1767</v>
      </c>
    </row>
    <row r="391" spans="1:14" s="598" customFormat="1" ht="18.75" customHeight="1">
      <c r="A391" s="640" t="s">
        <v>1766</v>
      </c>
      <c r="B391" s="639" t="s">
        <v>1653</v>
      </c>
      <c r="C391" s="638">
        <f>SUM(C392:C395)</f>
        <v>57733533</v>
      </c>
      <c r="D391" s="636">
        <f>SUM(D392:D395)</f>
        <v>2000000</v>
      </c>
      <c r="E391" s="635">
        <f>D391-F391</f>
        <v>1955980</v>
      </c>
      <c r="F391" s="637">
        <f>SUM(F392:F395)</f>
        <v>44020</v>
      </c>
      <c r="G391" s="636">
        <f>SUM(G392:G395)</f>
        <v>17834000</v>
      </c>
      <c r="H391" s="635">
        <f>SUM(H392:H395)</f>
        <v>17674836</v>
      </c>
      <c r="I391" s="634">
        <f>G391-H391</f>
        <v>159164</v>
      </c>
      <c r="J391" s="636">
        <f>SUM(J392:J395)</f>
        <v>1723156</v>
      </c>
      <c r="K391" s="635">
        <f>SUM(K392:K395)</f>
        <v>7085275</v>
      </c>
      <c r="L391" s="634">
        <f>SUM(L392:L395)</f>
        <v>29091102</v>
      </c>
      <c r="M391" s="643" t="s">
        <v>1654</v>
      </c>
    </row>
    <row r="392" spans="1:14" s="598" customFormat="1" ht="18.75" customHeight="1">
      <c r="A392" s="618" t="s">
        <v>1765</v>
      </c>
      <c r="B392" s="632" t="s">
        <v>430</v>
      </c>
      <c r="C392" s="631">
        <f>D392+G392+J392+K392+L392</f>
        <v>52766906</v>
      </c>
      <c r="D392" s="629">
        <v>2000000</v>
      </c>
      <c r="E392" s="628">
        <v>1955980</v>
      </c>
      <c r="F392" s="630">
        <v>44020</v>
      </c>
      <c r="G392" s="629">
        <v>17834000</v>
      </c>
      <c r="H392" s="628">
        <v>17674836</v>
      </c>
      <c r="I392" s="627">
        <f>G392-H392</f>
        <v>159164</v>
      </c>
      <c r="J392" s="629">
        <v>1723156</v>
      </c>
      <c r="K392" s="628">
        <v>6241950</v>
      </c>
      <c r="L392" s="627">
        <v>24967800</v>
      </c>
      <c r="M392" s="606" t="s">
        <v>1743</v>
      </c>
    </row>
    <row r="393" spans="1:14" s="598" customFormat="1" ht="18.75" customHeight="1">
      <c r="A393" s="618" t="s">
        <v>1764</v>
      </c>
      <c r="B393" s="617" t="s">
        <v>432</v>
      </c>
      <c r="C393" s="616">
        <f>D393+G393+J393+K393+L393</f>
        <v>4144845</v>
      </c>
      <c r="D393" s="615">
        <v>0</v>
      </c>
      <c r="E393" s="614">
        <v>0</v>
      </c>
      <c r="F393" s="626">
        <v>0</v>
      </c>
      <c r="G393" s="615">
        <v>0</v>
      </c>
      <c r="H393" s="614">
        <v>0</v>
      </c>
      <c r="I393" s="613">
        <v>0</v>
      </c>
      <c r="J393" s="615">
        <v>0</v>
      </c>
      <c r="K393" s="614">
        <v>828969</v>
      </c>
      <c r="L393" s="613">
        <v>3315876</v>
      </c>
      <c r="M393" s="606" t="s">
        <v>1763</v>
      </c>
    </row>
    <row r="394" spans="1:14" s="598" customFormat="1" ht="18.75" customHeight="1">
      <c r="A394" s="618" t="s">
        <v>1762</v>
      </c>
      <c r="B394" s="617" t="s">
        <v>434</v>
      </c>
      <c r="C394" s="616">
        <f>D394+G394+J394+K394+L394</f>
        <v>71782</v>
      </c>
      <c r="D394" s="615">
        <v>0</v>
      </c>
      <c r="E394" s="614">
        <v>0</v>
      </c>
      <c r="F394" s="626">
        <v>0</v>
      </c>
      <c r="G394" s="615">
        <v>0</v>
      </c>
      <c r="H394" s="614">
        <v>0</v>
      </c>
      <c r="I394" s="613">
        <v>0</v>
      </c>
      <c r="J394" s="615">
        <v>0</v>
      </c>
      <c r="K394" s="614">
        <v>14356</v>
      </c>
      <c r="L394" s="613">
        <v>57426</v>
      </c>
      <c r="M394" s="606" t="s">
        <v>1752</v>
      </c>
    </row>
    <row r="395" spans="1:14" s="598" customFormat="1" ht="18.75" customHeight="1">
      <c r="A395" s="618" t="s">
        <v>1761</v>
      </c>
      <c r="B395" s="617" t="s">
        <v>902</v>
      </c>
      <c r="C395" s="616">
        <f>D395+G395+J395+K395+L395</f>
        <v>750000</v>
      </c>
      <c r="D395" s="615">
        <v>0</v>
      </c>
      <c r="E395" s="614">
        <v>0</v>
      </c>
      <c r="F395" s="626">
        <v>0</v>
      </c>
      <c r="G395" s="615">
        <v>0</v>
      </c>
      <c r="H395" s="614">
        <v>0</v>
      </c>
      <c r="I395" s="613">
        <v>0</v>
      </c>
      <c r="J395" s="615">
        <v>0</v>
      </c>
      <c r="K395" s="614">
        <v>0</v>
      </c>
      <c r="L395" s="613">
        <v>750000</v>
      </c>
      <c r="M395" s="606"/>
    </row>
    <row r="396" spans="1:14" s="598" customFormat="1" ht="18.75" customHeight="1">
      <c r="A396" s="618" t="s">
        <v>1760</v>
      </c>
      <c r="B396" s="624" t="s">
        <v>1651</v>
      </c>
      <c r="C396" s="623">
        <f>SUM(C397:C400)</f>
        <v>57733533</v>
      </c>
      <c r="D396" s="621">
        <f>SUM(D397:D400)</f>
        <v>2000000</v>
      </c>
      <c r="E396" s="620">
        <f>D396-F396</f>
        <v>1955980</v>
      </c>
      <c r="F396" s="622">
        <f>SUM(F397:F400)</f>
        <v>44020</v>
      </c>
      <c r="G396" s="621">
        <f>SUM(G397:G400)</f>
        <v>17834000</v>
      </c>
      <c r="H396" s="620">
        <f>SUM(H397:H400)</f>
        <v>17674836</v>
      </c>
      <c r="I396" s="619">
        <f>G396-H396</f>
        <v>159164</v>
      </c>
      <c r="J396" s="621">
        <f>SUM(J397:J400)</f>
        <v>1423156</v>
      </c>
      <c r="K396" s="620">
        <f>SUM(K397:K400)</f>
        <v>7385275</v>
      </c>
      <c r="L396" s="619">
        <f>C396-D396-G396-J396-K396</f>
        <v>29091102</v>
      </c>
      <c r="M396" s="606"/>
    </row>
    <row r="397" spans="1:14" s="598" customFormat="1" ht="18.75" customHeight="1">
      <c r="A397" s="618" t="s">
        <v>1759</v>
      </c>
      <c r="B397" s="617" t="s">
        <v>430</v>
      </c>
      <c r="C397" s="616">
        <f>D397+G397+J397+K397+L397</f>
        <v>52766906</v>
      </c>
      <c r="D397" s="615">
        <v>2000000</v>
      </c>
      <c r="E397" s="614">
        <v>1955980</v>
      </c>
      <c r="F397" s="626">
        <v>44020</v>
      </c>
      <c r="G397" s="615">
        <v>17834000</v>
      </c>
      <c r="H397" s="614">
        <v>17674836</v>
      </c>
      <c r="I397" s="613">
        <v>159164</v>
      </c>
      <c r="J397" s="615">
        <v>1423156</v>
      </c>
      <c r="K397" s="614">
        <v>6541950</v>
      </c>
      <c r="L397" s="613">
        <v>24967800</v>
      </c>
      <c r="M397" s="606"/>
    </row>
    <row r="398" spans="1:14" s="598" customFormat="1" ht="18.75" customHeight="1">
      <c r="A398" s="618"/>
      <c r="B398" s="617" t="s">
        <v>432</v>
      </c>
      <c r="C398" s="616">
        <f>D398+G398+J398+K398+L398</f>
        <v>4144845</v>
      </c>
      <c r="D398" s="615">
        <v>0</v>
      </c>
      <c r="E398" s="614">
        <v>0</v>
      </c>
      <c r="F398" s="626">
        <v>0</v>
      </c>
      <c r="G398" s="615">
        <v>0</v>
      </c>
      <c r="H398" s="614">
        <v>0</v>
      </c>
      <c r="I398" s="613">
        <v>0</v>
      </c>
      <c r="J398" s="615">
        <v>0</v>
      </c>
      <c r="K398" s="614">
        <v>828969</v>
      </c>
      <c r="L398" s="613">
        <v>3315876</v>
      </c>
      <c r="M398" s="606"/>
    </row>
    <row r="399" spans="1:14" s="598" customFormat="1" ht="18.75" customHeight="1">
      <c r="A399" s="618"/>
      <c r="B399" s="617" t="s">
        <v>434</v>
      </c>
      <c r="C399" s="616">
        <f>D399+G399+J399+K399+L399</f>
        <v>71782</v>
      </c>
      <c r="D399" s="615">
        <v>0</v>
      </c>
      <c r="E399" s="614">
        <v>0</v>
      </c>
      <c r="F399" s="626">
        <v>0</v>
      </c>
      <c r="G399" s="615">
        <v>0</v>
      </c>
      <c r="H399" s="614">
        <v>0</v>
      </c>
      <c r="I399" s="613">
        <v>0</v>
      </c>
      <c r="J399" s="615">
        <v>0</v>
      </c>
      <c r="K399" s="614">
        <v>14356</v>
      </c>
      <c r="L399" s="613">
        <v>57426</v>
      </c>
      <c r="M399" s="606"/>
    </row>
    <row r="400" spans="1:14" s="598" customFormat="1" ht="18.75" customHeight="1">
      <c r="A400" s="612" t="s">
        <v>1699</v>
      </c>
      <c r="B400" s="611" t="s">
        <v>902</v>
      </c>
      <c r="C400" s="610">
        <f>D400+G400+J400+K400+L400</f>
        <v>750000</v>
      </c>
      <c r="D400" s="609">
        <v>0</v>
      </c>
      <c r="E400" s="608">
        <v>0</v>
      </c>
      <c r="F400" s="642">
        <v>0</v>
      </c>
      <c r="G400" s="609">
        <v>0</v>
      </c>
      <c r="H400" s="608">
        <v>0</v>
      </c>
      <c r="I400" s="607">
        <v>0</v>
      </c>
      <c r="J400" s="609">
        <v>0</v>
      </c>
      <c r="K400" s="608">
        <v>0</v>
      </c>
      <c r="L400" s="607">
        <v>750000</v>
      </c>
      <c r="M400" s="606"/>
    </row>
    <row r="401" spans="1:13" s="598" customFormat="1" ht="18.75" customHeight="1" thickBot="1">
      <c r="A401" s="605"/>
      <c r="B401" s="604" t="s">
        <v>1649</v>
      </c>
      <c r="C401" s="603">
        <f t="shared" ref="C401:L401" si="82">C396-C391</f>
        <v>0</v>
      </c>
      <c r="D401" s="602">
        <f t="shared" si="82"/>
        <v>0</v>
      </c>
      <c r="E401" s="601">
        <f t="shared" si="82"/>
        <v>0</v>
      </c>
      <c r="F401" s="641">
        <f t="shared" si="82"/>
        <v>0</v>
      </c>
      <c r="G401" s="602">
        <f t="shared" si="82"/>
        <v>0</v>
      </c>
      <c r="H401" s="601">
        <f t="shared" si="82"/>
        <v>0</v>
      </c>
      <c r="I401" s="600">
        <f t="shared" si="82"/>
        <v>0</v>
      </c>
      <c r="J401" s="602">
        <f t="shared" si="82"/>
        <v>-300000</v>
      </c>
      <c r="K401" s="601">
        <f t="shared" si="82"/>
        <v>300000</v>
      </c>
      <c r="L401" s="600">
        <f t="shared" si="82"/>
        <v>0</v>
      </c>
      <c r="M401" s="599" t="s">
        <v>1758</v>
      </c>
    </row>
    <row r="402" spans="1:13" s="598" customFormat="1" ht="18.75" customHeight="1">
      <c r="A402" s="640" t="s">
        <v>1757</v>
      </c>
      <c r="B402" s="639" t="s">
        <v>1653</v>
      </c>
      <c r="C402" s="638">
        <f>SUM(C403:C406)</f>
        <v>11320864</v>
      </c>
      <c r="D402" s="636">
        <f>SUM(D403:D406)</f>
        <v>0</v>
      </c>
      <c r="E402" s="635">
        <f>D402-F402</f>
        <v>0</v>
      </c>
      <c r="F402" s="637">
        <f>SUM(F403:F406)</f>
        <v>0</v>
      </c>
      <c r="G402" s="636">
        <f>SUM(G403:G406)</f>
        <v>150000</v>
      </c>
      <c r="H402" s="635">
        <f>SUM(H403:H406)</f>
        <v>150000</v>
      </c>
      <c r="I402" s="634">
        <f>G402-H402</f>
        <v>0</v>
      </c>
      <c r="J402" s="636">
        <f>SUM(J403:J406)</f>
        <v>1960767</v>
      </c>
      <c r="K402" s="635">
        <f>SUM(K403:K406)</f>
        <v>3816992</v>
      </c>
      <c r="L402" s="634">
        <f>SUM(L403:L406)</f>
        <v>5393105</v>
      </c>
      <c r="M402" s="633" t="s">
        <v>1654</v>
      </c>
    </row>
    <row r="403" spans="1:13" s="598" customFormat="1" ht="18.75" customHeight="1">
      <c r="A403" s="618" t="s">
        <v>1756</v>
      </c>
      <c r="B403" s="632" t="s">
        <v>430</v>
      </c>
      <c r="C403" s="631">
        <f>D403+G403+J403+K403+L403</f>
        <v>9698501</v>
      </c>
      <c r="D403" s="629">
        <v>0</v>
      </c>
      <c r="E403" s="628">
        <v>0</v>
      </c>
      <c r="F403" s="630">
        <v>0</v>
      </c>
      <c r="G403" s="629">
        <v>150000</v>
      </c>
      <c r="H403" s="628">
        <v>150000</v>
      </c>
      <c r="I403" s="627">
        <v>0</v>
      </c>
      <c r="J403" s="629">
        <v>1960767</v>
      </c>
      <c r="K403" s="628">
        <v>3035094</v>
      </c>
      <c r="L403" s="627">
        <v>4552640</v>
      </c>
      <c r="M403" s="606" t="s">
        <v>1743</v>
      </c>
    </row>
    <row r="404" spans="1:13" s="598" customFormat="1" ht="18.75" customHeight="1">
      <c r="A404" s="618" t="s">
        <v>1755</v>
      </c>
      <c r="B404" s="617" t="s">
        <v>432</v>
      </c>
      <c r="C404" s="616">
        <f>D404+G404+J404+K404+L404</f>
        <v>1282790</v>
      </c>
      <c r="D404" s="615">
        <v>0</v>
      </c>
      <c r="E404" s="614">
        <v>0</v>
      </c>
      <c r="F404" s="626">
        <v>0</v>
      </c>
      <c r="G404" s="615">
        <v>0</v>
      </c>
      <c r="H404" s="614">
        <v>0</v>
      </c>
      <c r="I404" s="613">
        <v>0</v>
      </c>
      <c r="J404" s="615">
        <v>0</v>
      </c>
      <c r="K404" s="614">
        <v>769674</v>
      </c>
      <c r="L404" s="613">
        <v>513116</v>
      </c>
      <c r="M404" s="606" t="s">
        <v>1754</v>
      </c>
    </row>
    <row r="405" spans="1:13" s="598" customFormat="1" ht="18.75" customHeight="1">
      <c r="A405" s="618" t="s">
        <v>1753</v>
      </c>
      <c r="B405" s="617" t="s">
        <v>434</v>
      </c>
      <c r="C405" s="616">
        <f>D405+G405+J405+K405+L405</f>
        <v>20373</v>
      </c>
      <c r="D405" s="615">
        <v>0</v>
      </c>
      <c r="E405" s="614">
        <v>0</v>
      </c>
      <c r="F405" s="626">
        <v>0</v>
      </c>
      <c r="G405" s="615">
        <v>0</v>
      </c>
      <c r="H405" s="614">
        <v>0</v>
      </c>
      <c r="I405" s="613">
        <v>0</v>
      </c>
      <c r="J405" s="615">
        <v>0</v>
      </c>
      <c r="K405" s="614">
        <v>12224</v>
      </c>
      <c r="L405" s="613">
        <v>8149</v>
      </c>
      <c r="M405" s="606" t="s">
        <v>1752</v>
      </c>
    </row>
    <row r="406" spans="1:13" s="598" customFormat="1" ht="18.75" customHeight="1">
      <c r="A406" s="618" t="s">
        <v>1751</v>
      </c>
      <c r="B406" s="617" t="s">
        <v>902</v>
      </c>
      <c r="C406" s="616">
        <f>D406+G406+J406+K406+L406</f>
        <v>319200</v>
      </c>
      <c r="D406" s="615">
        <v>0</v>
      </c>
      <c r="E406" s="614">
        <v>0</v>
      </c>
      <c r="F406" s="626">
        <v>0</v>
      </c>
      <c r="G406" s="615">
        <v>0</v>
      </c>
      <c r="H406" s="614">
        <v>0</v>
      </c>
      <c r="I406" s="613">
        <v>0</v>
      </c>
      <c r="J406" s="615">
        <v>0</v>
      </c>
      <c r="K406" s="614">
        <v>0</v>
      </c>
      <c r="L406" s="613">
        <v>319200</v>
      </c>
      <c r="M406" s="625" t="s">
        <v>1652</v>
      </c>
    </row>
    <row r="407" spans="1:13" s="598" customFormat="1" ht="18.75" customHeight="1">
      <c r="A407" s="618" t="s">
        <v>1750</v>
      </c>
      <c r="B407" s="624" t="s">
        <v>1651</v>
      </c>
      <c r="C407" s="623">
        <f>SUM(C408:C411)</f>
        <v>11320864</v>
      </c>
      <c r="D407" s="621">
        <f>SUM(D408:D411)</f>
        <v>0</v>
      </c>
      <c r="E407" s="620">
        <f>D407-F407</f>
        <v>0</v>
      </c>
      <c r="F407" s="622">
        <f>SUM(F408:F411)</f>
        <v>0</v>
      </c>
      <c r="G407" s="621">
        <f>SUM(G408:G411)</f>
        <v>150000</v>
      </c>
      <c r="H407" s="620">
        <f>SUM(H408:H411)</f>
        <v>150000</v>
      </c>
      <c r="I407" s="619">
        <f>G407-H407</f>
        <v>0</v>
      </c>
      <c r="J407" s="621">
        <f>SUM(J408:J411)</f>
        <v>1660767</v>
      </c>
      <c r="K407" s="620">
        <f>SUM(K408:K411)</f>
        <v>300000</v>
      </c>
      <c r="L407" s="619">
        <f>C407-D407-G407-J407-K407</f>
        <v>9210097</v>
      </c>
      <c r="M407" s="606" t="s">
        <v>1749</v>
      </c>
    </row>
    <row r="408" spans="1:13" s="598" customFormat="1" ht="18.75" customHeight="1">
      <c r="A408" s="618"/>
      <c r="B408" s="617" t="s">
        <v>430</v>
      </c>
      <c r="C408" s="616">
        <f>D408+G408+J408+K408+L408</f>
        <v>9698501</v>
      </c>
      <c r="D408" s="615">
        <v>0</v>
      </c>
      <c r="E408" s="614">
        <v>0</v>
      </c>
      <c r="F408" s="626">
        <f>D408-E408</f>
        <v>0</v>
      </c>
      <c r="G408" s="615">
        <v>150000</v>
      </c>
      <c r="H408" s="614">
        <v>150000</v>
      </c>
      <c r="I408" s="613">
        <v>0</v>
      </c>
      <c r="J408" s="615">
        <v>1660767</v>
      </c>
      <c r="K408" s="614">
        <v>300000</v>
      </c>
      <c r="L408" s="613">
        <v>7587734</v>
      </c>
      <c r="M408" s="606" t="s">
        <v>1748</v>
      </c>
    </row>
    <row r="409" spans="1:13" s="598" customFormat="1" ht="18.75" customHeight="1">
      <c r="A409" s="618"/>
      <c r="B409" s="617" t="s">
        <v>432</v>
      </c>
      <c r="C409" s="616">
        <f>D409+G409+J409+K409+L409</f>
        <v>1282790</v>
      </c>
      <c r="D409" s="615">
        <v>0</v>
      </c>
      <c r="E409" s="614">
        <v>0</v>
      </c>
      <c r="F409" s="626">
        <v>0</v>
      </c>
      <c r="G409" s="615">
        <v>0</v>
      </c>
      <c r="H409" s="614">
        <v>0</v>
      </c>
      <c r="I409" s="613">
        <v>0</v>
      </c>
      <c r="J409" s="615">
        <v>0</v>
      </c>
      <c r="K409" s="614">
        <v>0</v>
      </c>
      <c r="L409" s="613">
        <v>1282790</v>
      </c>
      <c r="M409" s="606" t="s">
        <v>1747</v>
      </c>
    </row>
    <row r="410" spans="1:13" s="598" customFormat="1" ht="18.75" customHeight="1">
      <c r="A410" s="618"/>
      <c r="B410" s="617" t="s">
        <v>434</v>
      </c>
      <c r="C410" s="616">
        <f>D410+G410+J410+K410+L410</f>
        <v>20373</v>
      </c>
      <c r="D410" s="615">
        <v>0</v>
      </c>
      <c r="E410" s="614">
        <v>0</v>
      </c>
      <c r="F410" s="626">
        <v>0</v>
      </c>
      <c r="G410" s="615">
        <v>0</v>
      </c>
      <c r="H410" s="614">
        <v>0</v>
      </c>
      <c r="I410" s="613">
        <v>0</v>
      </c>
      <c r="J410" s="615">
        <v>0</v>
      </c>
      <c r="K410" s="614">
        <v>0</v>
      </c>
      <c r="L410" s="613">
        <v>20373</v>
      </c>
      <c r="M410" s="606" t="s">
        <v>1746</v>
      </c>
    </row>
    <row r="411" spans="1:13" s="598" customFormat="1" ht="18.75" customHeight="1">
      <c r="A411" s="612" t="s">
        <v>1699</v>
      </c>
      <c r="B411" s="611" t="s">
        <v>902</v>
      </c>
      <c r="C411" s="610">
        <f>D411+G411+J411+K411+L411</f>
        <v>319200</v>
      </c>
      <c r="D411" s="609">
        <v>0</v>
      </c>
      <c r="E411" s="608">
        <v>0</v>
      </c>
      <c r="F411" s="642">
        <v>0</v>
      </c>
      <c r="G411" s="609">
        <v>0</v>
      </c>
      <c r="H411" s="608">
        <v>0</v>
      </c>
      <c r="I411" s="607">
        <v>0</v>
      </c>
      <c r="J411" s="609">
        <v>0</v>
      </c>
      <c r="K411" s="608">
        <v>0</v>
      </c>
      <c r="L411" s="607">
        <v>319200</v>
      </c>
      <c r="M411" s="606"/>
    </row>
    <row r="412" spans="1:13" s="598" customFormat="1" ht="18.75" customHeight="1" thickBot="1">
      <c r="A412" s="605"/>
      <c r="B412" s="604" t="s">
        <v>1649</v>
      </c>
      <c r="C412" s="603">
        <f t="shared" ref="C412:L412" si="83">C407-C402</f>
        <v>0</v>
      </c>
      <c r="D412" s="602">
        <f t="shared" si="83"/>
        <v>0</v>
      </c>
      <c r="E412" s="601">
        <f t="shared" si="83"/>
        <v>0</v>
      </c>
      <c r="F412" s="641">
        <f t="shared" si="83"/>
        <v>0</v>
      </c>
      <c r="G412" s="602">
        <f t="shared" si="83"/>
        <v>0</v>
      </c>
      <c r="H412" s="601">
        <f t="shared" si="83"/>
        <v>0</v>
      </c>
      <c r="I412" s="600">
        <f t="shared" si="83"/>
        <v>0</v>
      </c>
      <c r="J412" s="602">
        <f t="shared" si="83"/>
        <v>-300000</v>
      </c>
      <c r="K412" s="601">
        <f t="shared" si="83"/>
        <v>-3516992</v>
      </c>
      <c r="L412" s="600">
        <f t="shared" si="83"/>
        <v>3816992</v>
      </c>
      <c r="M412" s="599" t="s">
        <v>1715</v>
      </c>
    </row>
    <row r="413" spans="1:13" s="598" customFormat="1" ht="18" customHeight="1">
      <c r="A413" s="640" t="s">
        <v>1745</v>
      </c>
      <c r="B413" s="639" t="s">
        <v>1653</v>
      </c>
      <c r="C413" s="638">
        <f>SUM(C414:C417)</f>
        <v>8257528</v>
      </c>
      <c r="D413" s="636">
        <f>SUM(D414:D417)</f>
        <v>0</v>
      </c>
      <c r="E413" s="635">
        <f>D413-F413</f>
        <v>0</v>
      </c>
      <c r="F413" s="637">
        <f>SUM(F414:F417)</f>
        <v>0</v>
      </c>
      <c r="G413" s="636">
        <f>SUM(G414:G417)</f>
        <v>0</v>
      </c>
      <c r="H413" s="635">
        <f>SUM(H414:H417)</f>
        <v>0</v>
      </c>
      <c r="I413" s="634">
        <f>G413-H413</f>
        <v>0</v>
      </c>
      <c r="J413" s="636">
        <f>SUM(J414:J417)</f>
        <v>1879435</v>
      </c>
      <c r="K413" s="635">
        <f>SUM(K414:K417)</f>
        <v>3695336</v>
      </c>
      <c r="L413" s="634">
        <f>SUM(L414:L417)</f>
        <v>2682757</v>
      </c>
      <c r="M413" s="633" t="s">
        <v>1654</v>
      </c>
    </row>
    <row r="414" spans="1:13" s="598" customFormat="1" ht="17.25" customHeight="1">
      <c r="A414" s="618" t="s">
        <v>1744</v>
      </c>
      <c r="B414" s="632" t="s">
        <v>430</v>
      </c>
      <c r="C414" s="631">
        <f>D414+G414+J414+K414+L414</f>
        <v>6919475</v>
      </c>
      <c r="D414" s="629">
        <v>0</v>
      </c>
      <c r="E414" s="628">
        <v>0</v>
      </c>
      <c r="F414" s="630">
        <v>0</v>
      </c>
      <c r="G414" s="629">
        <v>0</v>
      </c>
      <c r="H414" s="628">
        <v>0</v>
      </c>
      <c r="I414" s="627">
        <v>0</v>
      </c>
      <c r="J414" s="629">
        <v>1879435</v>
      </c>
      <c r="K414" s="628">
        <v>3024024</v>
      </c>
      <c r="L414" s="627">
        <v>2016016</v>
      </c>
      <c r="M414" s="606" t="s">
        <v>1743</v>
      </c>
    </row>
    <row r="415" spans="1:13" s="598" customFormat="1" ht="17.25" customHeight="1">
      <c r="A415" s="618" t="s">
        <v>1742</v>
      </c>
      <c r="B415" s="617" t="s">
        <v>432</v>
      </c>
      <c r="C415" s="616">
        <f>D415+G415+J415+K415+L415</f>
        <v>1100803</v>
      </c>
      <c r="D415" s="615">
        <v>0</v>
      </c>
      <c r="E415" s="614">
        <v>0</v>
      </c>
      <c r="F415" s="626">
        <v>0</v>
      </c>
      <c r="G415" s="615">
        <v>0</v>
      </c>
      <c r="H415" s="614">
        <v>0</v>
      </c>
      <c r="I415" s="613">
        <v>0</v>
      </c>
      <c r="J415" s="615">
        <v>0</v>
      </c>
      <c r="K415" s="614">
        <v>660482</v>
      </c>
      <c r="L415" s="613">
        <v>440321</v>
      </c>
      <c r="M415" s="606" t="s">
        <v>1741</v>
      </c>
    </row>
    <row r="416" spans="1:13" s="598" customFormat="1" ht="17.25" customHeight="1">
      <c r="A416" s="618" t="s">
        <v>1740</v>
      </c>
      <c r="B416" s="617" t="s">
        <v>434</v>
      </c>
      <c r="C416" s="616">
        <f>D416+G416+J416+K416+L416</f>
        <v>18050</v>
      </c>
      <c r="D416" s="615">
        <v>0</v>
      </c>
      <c r="E416" s="614">
        <v>0</v>
      </c>
      <c r="F416" s="626">
        <v>0</v>
      </c>
      <c r="G416" s="615">
        <v>0</v>
      </c>
      <c r="H416" s="614">
        <v>0</v>
      </c>
      <c r="I416" s="613">
        <v>0</v>
      </c>
      <c r="J416" s="615">
        <v>0</v>
      </c>
      <c r="K416" s="614">
        <v>10830</v>
      </c>
      <c r="L416" s="613">
        <v>7220</v>
      </c>
      <c r="M416" s="606" t="s">
        <v>1739</v>
      </c>
    </row>
    <row r="417" spans="1:13" s="598" customFormat="1" ht="17.25" customHeight="1">
      <c r="A417" s="618" t="s">
        <v>1738</v>
      </c>
      <c r="B417" s="617" t="s">
        <v>902</v>
      </c>
      <c r="C417" s="616">
        <f>D417+G417+J417+K417+L417</f>
        <v>219200</v>
      </c>
      <c r="D417" s="615">
        <v>0</v>
      </c>
      <c r="E417" s="614">
        <v>0</v>
      </c>
      <c r="F417" s="626">
        <v>0</v>
      </c>
      <c r="G417" s="615">
        <v>0</v>
      </c>
      <c r="H417" s="614">
        <v>0</v>
      </c>
      <c r="I417" s="613">
        <v>0</v>
      </c>
      <c r="J417" s="615">
        <v>0</v>
      </c>
      <c r="K417" s="614"/>
      <c r="L417" s="613">
        <v>219200</v>
      </c>
      <c r="M417" s="625" t="s">
        <v>1652</v>
      </c>
    </row>
    <row r="418" spans="1:13" s="598" customFormat="1" ht="18" customHeight="1">
      <c r="A418" s="618" t="s">
        <v>1737</v>
      </c>
      <c r="B418" s="624" t="s">
        <v>1651</v>
      </c>
      <c r="C418" s="623">
        <f>SUM(C419:C422)</f>
        <v>8257528</v>
      </c>
      <c r="D418" s="621">
        <f>SUM(D419:D422)</f>
        <v>0</v>
      </c>
      <c r="E418" s="620">
        <f>D418-F418</f>
        <v>0</v>
      </c>
      <c r="F418" s="622">
        <f>SUM(F419:F422)</f>
        <v>0</v>
      </c>
      <c r="G418" s="621">
        <f>SUM(G419:G422)</f>
        <v>0</v>
      </c>
      <c r="H418" s="620">
        <f>SUM(H419:H422)</f>
        <v>0</v>
      </c>
      <c r="I418" s="619">
        <f>G418-H418</f>
        <v>0</v>
      </c>
      <c r="J418" s="621">
        <f>SUM(J419:J422)</f>
        <v>1579435</v>
      </c>
      <c r="K418" s="620">
        <f>SUM(K419:K422)</f>
        <v>300000</v>
      </c>
      <c r="L418" s="619">
        <f>C418-D418-G418-J418-K418</f>
        <v>6378093</v>
      </c>
      <c r="M418" s="606" t="s">
        <v>1736</v>
      </c>
    </row>
    <row r="419" spans="1:13" s="598" customFormat="1" ht="17.25" customHeight="1">
      <c r="A419" s="618"/>
      <c r="B419" s="617" t="s">
        <v>430</v>
      </c>
      <c r="C419" s="616">
        <f>D419+G419+J419+K419+L419</f>
        <v>6919475</v>
      </c>
      <c r="D419" s="615">
        <v>0</v>
      </c>
      <c r="E419" s="614">
        <v>0</v>
      </c>
      <c r="F419" s="626">
        <v>0</v>
      </c>
      <c r="G419" s="615">
        <v>0</v>
      </c>
      <c r="H419" s="614">
        <v>0</v>
      </c>
      <c r="I419" s="613">
        <v>0</v>
      </c>
      <c r="J419" s="615">
        <v>1579435</v>
      </c>
      <c r="K419" s="614">
        <v>300000</v>
      </c>
      <c r="L419" s="613">
        <v>5040040</v>
      </c>
      <c r="M419" s="606" t="s">
        <v>1735</v>
      </c>
    </row>
    <row r="420" spans="1:13" s="598" customFormat="1" ht="17.25" customHeight="1">
      <c r="A420" s="618"/>
      <c r="B420" s="617" t="s">
        <v>432</v>
      </c>
      <c r="C420" s="616">
        <f>D420+G420+J420+K420+L420</f>
        <v>1100803</v>
      </c>
      <c r="D420" s="615">
        <v>0</v>
      </c>
      <c r="E420" s="614">
        <v>0</v>
      </c>
      <c r="F420" s="626">
        <v>0</v>
      </c>
      <c r="G420" s="615">
        <v>0</v>
      </c>
      <c r="H420" s="614">
        <v>0</v>
      </c>
      <c r="I420" s="613">
        <v>0</v>
      </c>
      <c r="J420" s="615">
        <v>0</v>
      </c>
      <c r="K420" s="614">
        <v>0</v>
      </c>
      <c r="L420" s="613">
        <v>1100803</v>
      </c>
      <c r="M420" s="606" t="s">
        <v>1734</v>
      </c>
    </row>
    <row r="421" spans="1:13" s="598" customFormat="1" ht="17.25" customHeight="1">
      <c r="A421" s="618"/>
      <c r="B421" s="617" t="s">
        <v>434</v>
      </c>
      <c r="C421" s="616">
        <f>D421+G421+J421+K421+L421</f>
        <v>18050</v>
      </c>
      <c r="D421" s="615">
        <v>0</v>
      </c>
      <c r="E421" s="614">
        <v>0</v>
      </c>
      <c r="F421" s="626">
        <v>0</v>
      </c>
      <c r="G421" s="615">
        <v>0</v>
      </c>
      <c r="H421" s="614">
        <v>0</v>
      </c>
      <c r="I421" s="613">
        <v>0</v>
      </c>
      <c r="J421" s="615">
        <v>0</v>
      </c>
      <c r="K421" s="614">
        <v>0</v>
      </c>
      <c r="L421" s="613">
        <v>18050</v>
      </c>
      <c r="M421" s="606" t="s">
        <v>1733</v>
      </c>
    </row>
    <row r="422" spans="1:13" s="598" customFormat="1" ht="17.25" customHeight="1">
      <c r="A422" s="612" t="s">
        <v>1699</v>
      </c>
      <c r="B422" s="611" t="s">
        <v>902</v>
      </c>
      <c r="C422" s="610">
        <f>D422+G422+J422+K422+L422</f>
        <v>219200</v>
      </c>
      <c r="D422" s="609">
        <v>0</v>
      </c>
      <c r="E422" s="608">
        <v>0</v>
      </c>
      <c r="F422" s="642">
        <v>0</v>
      </c>
      <c r="G422" s="609">
        <v>0</v>
      </c>
      <c r="H422" s="608">
        <v>0</v>
      </c>
      <c r="I422" s="607">
        <v>0</v>
      </c>
      <c r="J422" s="609">
        <v>0</v>
      </c>
      <c r="K422" s="608">
        <v>0</v>
      </c>
      <c r="L422" s="607">
        <v>219200</v>
      </c>
      <c r="M422" s="606"/>
    </row>
    <row r="423" spans="1:13" s="598" customFormat="1" ht="18" customHeight="1" thickBot="1">
      <c r="A423" s="605"/>
      <c r="B423" s="604" t="s">
        <v>1649</v>
      </c>
      <c r="C423" s="603">
        <f t="shared" ref="C423:L423" si="84">C418-C413</f>
        <v>0</v>
      </c>
      <c r="D423" s="602">
        <f t="shared" si="84"/>
        <v>0</v>
      </c>
      <c r="E423" s="601">
        <f t="shared" si="84"/>
        <v>0</v>
      </c>
      <c r="F423" s="641">
        <f t="shared" si="84"/>
        <v>0</v>
      </c>
      <c r="G423" s="602">
        <f t="shared" si="84"/>
        <v>0</v>
      </c>
      <c r="H423" s="601">
        <f t="shared" si="84"/>
        <v>0</v>
      </c>
      <c r="I423" s="600">
        <f t="shared" si="84"/>
        <v>0</v>
      </c>
      <c r="J423" s="602">
        <f t="shared" si="84"/>
        <v>-300000</v>
      </c>
      <c r="K423" s="601">
        <f t="shared" si="84"/>
        <v>-3395336</v>
      </c>
      <c r="L423" s="600">
        <f t="shared" si="84"/>
        <v>3695336</v>
      </c>
      <c r="M423" s="599" t="s">
        <v>1732</v>
      </c>
    </row>
    <row r="424" spans="1:13" s="598" customFormat="1" ht="18" customHeight="1">
      <c r="A424" s="640" t="s">
        <v>1731</v>
      </c>
      <c r="B424" s="639" t="s">
        <v>1653</v>
      </c>
      <c r="C424" s="638">
        <f>SUM(C425:C428)</f>
        <v>15001214</v>
      </c>
      <c r="D424" s="636">
        <f>SUM(D425:D428)</f>
        <v>5673730</v>
      </c>
      <c r="E424" s="635">
        <f>D424-F424</f>
        <v>5427060</v>
      </c>
      <c r="F424" s="637">
        <f>SUM(F425:F428)</f>
        <v>246670</v>
      </c>
      <c r="G424" s="636">
        <f>SUM(G425:G428)</f>
        <v>0</v>
      </c>
      <c r="H424" s="635">
        <f>SUM(H425:H428)</f>
        <v>0</v>
      </c>
      <c r="I424" s="634">
        <f>G424-H424</f>
        <v>0</v>
      </c>
      <c r="J424" s="636">
        <f>SUM(J425:J428)</f>
        <v>4916203</v>
      </c>
      <c r="K424" s="635">
        <f>SUM(K425:K428)</f>
        <v>4411281</v>
      </c>
      <c r="L424" s="634">
        <f>SUM(L425:L428)</f>
        <v>0</v>
      </c>
      <c r="M424" s="633" t="s">
        <v>1713</v>
      </c>
    </row>
    <row r="425" spans="1:13" s="598" customFormat="1" ht="17.25" customHeight="1">
      <c r="A425" s="618" t="s">
        <v>1730</v>
      </c>
      <c r="B425" s="632" t="s">
        <v>430</v>
      </c>
      <c r="C425" s="631">
        <f>D425+G425+J425+K425+L425</f>
        <v>13477821</v>
      </c>
      <c r="D425" s="629">
        <v>5673730</v>
      </c>
      <c r="E425" s="628">
        <v>5427060</v>
      </c>
      <c r="F425" s="630">
        <v>246670</v>
      </c>
      <c r="G425" s="629">
        <v>0</v>
      </c>
      <c r="H425" s="628">
        <v>0</v>
      </c>
      <c r="I425" s="627">
        <v>0</v>
      </c>
      <c r="J425" s="629">
        <v>4133687</v>
      </c>
      <c r="K425" s="628">
        <v>3670404</v>
      </c>
      <c r="L425" s="627">
        <v>0</v>
      </c>
      <c r="M425" s="606" t="s">
        <v>1729</v>
      </c>
    </row>
    <row r="426" spans="1:13" s="598" customFormat="1" ht="17.25" customHeight="1">
      <c r="A426" s="618" t="s">
        <v>1728</v>
      </c>
      <c r="B426" s="617" t="s">
        <v>432</v>
      </c>
      <c r="C426" s="616">
        <f>D426+G426+J426+K426+L426</f>
        <v>1286820</v>
      </c>
      <c r="D426" s="615">
        <v>0</v>
      </c>
      <c r="E426" s="614">
        <v>0</v>
      </c>
      <c r="F426" s="626">
        <v>0</v>
      </c>
      <c r="G426" s="615">
        <v>0</v>
      </c>
      <c r="H426" s="614">
        <v>0</v>
      </c>
      <c r="I426" s="613">
        <v>0</v>
      </c>
      <c r="J426" s="615">
        <v>772092</v>
      </c>
      <c r="K426" s="614">
        <v>514728</v>
      </c>
      <c r="L426" s="613">
        <v>0</v>
      </c>
      <c r="M426" s="606" t="s">
        <v>1727</v>
      </c>
    </row>
    <row r="427" spans="1:13" s="598" customFormat="1" ht="17.25" customHeight="1">
      <c r="A427" s="618" t="s">
        <v>1726</v>
      </c>
      <c r="B427" s="617" t="s">
        <v>434</v>
      </c>
      <c r="C427" s="616">
        <f>D427+G427+J427+K427+L427</f>
        <v>17373</v>
      </c>
      <c r="D427" s="615">
        <v>0</v>
      </c>
      <c r="E427" s="614">
        <v>0</v>
      </c>
      <c r="F427" s="626">
        <v>0</v>
      </c>
      <c r="G427" s="615">
        <v>0</v>
      </c>
      <c r="H427" s="614">
        <v>0</v>
      </c>
      <c r="I427" s="613">
        <v>0</v>
      </c>
      <c r="J427" s="615">
        <v>10424</v>
      </c>
      <c r="K427" s="614">
        <v>6949</v>
      </c>
      <c r="L427" s="613">
        <v>0</v>
      </c>
      <c r="M427" s="606" t="s">
        <v>1725</v>
      </c>
    </row>
    <row r="428" spans="1:13" s="598" customFormat="1" ht="17.25" customHeight="1">
      <c r="A428" s="618" t="s">
        <v>1724</v>
      </c>
      <c r="B428" s="617" t="s">
        <v>902</v>
      </c>
      <c r="C428" s="616">
        <f>D428+G428+J428+K428+L428</f>
        <v>219200</v>
      </c>
      <c r="D428" s="615">
        <v>0</v>
      </c>
      <c r="E428" s="614">
        <v>0</v>
      </c>
      <c r="F428" s="626">
        <v>0</v>
      </c>
      <c r="G428" s="615">
        <v>0</v>
      </c>
      <c r="H428" s="614">
        <v>0</v>
      </c>
      <c r="I428" s="613">
        <v>0</v>
      </c>
      <c r="J428" s="615">
        <v>0</v>
      </c>
      <c r="K428" s="614">
        <v>219200</v>
      </c>
      <c r="L428" s="613">
        <v>0</v>
      </c>
      <c r="M428" s="606"/>
    </row>
    <row r="429" spans="1:13" s="598" customFormat="1" ht="18" customHeight="1">
      <c r="A429" s="618"/>
      <c r="B429" s="624" t="s">
        <v>1651</v>
      </c>
      <c r="C429" s="623">
        <f>SUM(C430:C433)</f>
        <v>15001214</v>
      </c>
      <c r="D429" s="621">
        <f>SUM(D430:D433)</f>
        <v>5673730</v>
      </c>
      <c r="E429" s="620">
        <f>D429-F429</f>
        <v>5427060</v>
      </c>
      <c r="F429" s="622">
        <f>SUM(F430:F433)</f>
        <v>246670</v>
      </c>
      <c r="G429" s="621">
        <f>SUM(G430:G433)</f>
        <v>0</v>
      </c>
      <c r="H429" s="620">
        <f>SUM(H430:H433)</f>
        <v>0</v>
      </c>
      <c r="I429" s="619">
        <f>G429-H429</f>
        <v>0</v>
      </c>
      <c r="J429" s="621">
        <f>SUM(J430:J433)</f>
        <v>248081</v>
      </c>
      <c r="K429" s="620">
        <f>SUM(K430:K433)</f>
        <v>4668122</v>
      </c>
      <c r="L429" s="619">
        <f>C429-D429-G429-J429-K429</f>
        <v>4411281</v>
      </c>
      <c r="M429" s="606"/>
    </row>
    <row r="430" spans="1:13" s="598" customFormat="1" ht="17.25" customHeight="1">
      <c r="A430" s="618"/>
      <c r="B430" s="617" t="s">
        <v>430</v>
      </c>
      <c r="C430" s="616">
        <f>D430+G430+J430+K430+L430</f>
        <v>13477821</v>
      </c>
      <c r="D430" s="615">
        <v>5673730</v>
      </c>
      <c r="E430" s="614">
        <v>5427060</v>
      </c>
      <c r="F430" s="626">
        <v>246670</v>
      </c>
      <c r="G430" s="615">
        <v>0</v>
      </c>
      <c r="H430" s="614">
        <v>0</v>
      </c>
      <c r="I430" s="613">
        <v>0</v>
      </c>
      <c r="J430" s="615">
        <v>248081</v>
      </c>
      <c r="K430" s="614">
        <v>3885606</v>
      </c>
      <c r="L430" s="613">
        <v>3670404</v>
      </c>
      <c r="M430" s="606"/>
    </row>
    <row r="431" spans="1:13" s="598" customFormat="1" ht="17.25" customHeight="1">
      <c r="A431" s="618"/>
      <c r="B431" s="617" t="s">
        <v>432</v>
      </c>
      <c r="C431" s="616">
        <f>D431+G431+J431+K431+L431</f>
        <v>1286820</v>
      </c>
      <c r="D431" s="615">
        <v>0</v>
      </c>
      <c r="E431" s="614">
        <v>0</v>
      </c>
      <c r="F431" s="626">
        <v>0</v>
      </c>
      <c r="G431" s="615">
        <v>0</v>
      </c>
      <c r="H431" s="614">
        <v>0</v>
      </c>
      <c r="I431" s="613">
        <v>0</v>
      </c>
      <c r="J431" s="615">
        <v>0</v>
      </c>
      <c r="K431" s="614">
        <v>772092</v>
      </c>
      <c r="L431" s="613">
        <v>514728</v>
      </c>
      <c r="M431" s="606"/>
    </row>
    <row r="432" spans="1:13" s="598" customFormat="1" ht="17.25" customHeight="1">
      <c r="A432" s="618"/>
      <c r="B432" s="617" t="s">
        <v>434</v>
      </c>
      <c r="C432" s="616">
        <f>D432+G432+J432+K432+L432</f>
        <v>17373</v>
      </c>
      <c r="D432" s="615">
        <v>0</v>
      </c>
      <c r="E432" s="614">
        <v>0</v>
      </c>
      <c r="F432" s="626">
        <v>0</v>
      </c>
      <c r="G432" s="615">
        <v>0</v>
      </c>
      <c r="H432" s="614">
        <v>0</v>
      </c>
      <c r="I432" s="613">
        <v>0</v>
      </c>
      <c r="J432" s="615">
        <v>0</v>
      </c>
      <c r="K432" s="614">
        <v>10424</v>
      </c>
      <c r="L432" s="613">
        <v>6949</v>
      </c>
      <c r="M432" s="606"/>
    </row>
    <row r="433" spans="1:13" s="598" customFormat="1" ht="17.25" customHeight="1">
      <c r="A433" s="612" t="s">
        <v>1699</v>
      </c>
      <c r="B433" s="611" t="s">
        <v>902</v>
      </c>
      <c r="C433" s="610">
        <f>D433+G433+J433+K433+L433</f>
        <v>219200</v>
      </c>
      <c r="D433" s="609">
        <v>0</v>
      </c>
      <c r="E433" s="608">
        <v>0</v>
      </c>
      <c r="F433" s="642">
        <v>0</v>
      </c>
      <c r="G433" s="609">
        <v>0</v>
      </c>
      <c r="H433" s="608">
        <v>0</v>
      </c>
      <c r="I433" s="607">
        <v>0</v>
      </c>
      <c r="J433" s="609">
        <v>0</v>
      </c>
      <c r="K433" s="608">
        <v>0</v>
      </c>
      <c r="L433" s="607">
        <v>219200</v>
      </c>
      <c r="M433" s="606"/>
    </row>
    <row r="434" spans="1:13" s="598" customFormat="1" ht="18" customHeight="1" thickBot="1">
      <c r="A434" s="605"/>
      <c r="B434" s="604" t="s">
        <v>1649</v>
      </c>
      <c r="C434" s="603">
        <f t="shared" ref="C434:L434" si="85">C429-C424</f>
        <v>0</v>
      </c>
      <c r="D434" s="602">
        <f t="shared" si="85"/>
        <v>0</v>
      </c>
      <c r="E434" s="601">
        <f t="shared" si="85"/>
        <v>0</v>
      </c>
      <c r="F434" s="641">
        <f t="shared" si="85"/>
        <v>0</v>
      </c>
      <c r="G434" s="602">
        <f t="shared" si="85"/>
        <v>0</v>
      </c>
      <c r="H434" s="601">
        <f t="shared" si="85"/>
        <v>0</v>
      </c>
      <c r="I434" s="600">
        <f t="shared" si="85"/>
        <v>0</v>
      </c>
      <c r="J434" s="602">
        <f t="shared" si="85"/>
        <v>-4668122</v>
      </c>
      <c r="K434" s="601">
        <f t="shared" si="85"/>
        <v>256841</v>
      </c>
      <c r="L434" s="600">
        <f t="shared" si="85"/>
        <v>4411281</v>
      </c>
      <c r="M434" s="599" t="s">
        <v>1715</v>
      </c>
    </row>
    <row r="435" spans="1:13" s="598" customFormat="1" ht="18" customHeight="1">
      <c r="A435" s="640" t="s">
        <v>1723</v>
      </c>
      <c r="B435" s="639" t="s">
        <v>1653</v>
      </c>
      <c r="C435" s="638">
        <f>SUM(C436:C439)</f>
        <v>7962887</v>
      </c>
      <c r="D435" s="636">
        <f>SUM(D436:D439)</f>
        <v>0</v>
      </c>
      <c r="E435" s="635">
        <f>D435-F435</f>
        <v>0</v>
      </c>
      <c r="F435" s="637">
        <f>SUM(F436:F439)</f>
        <v>0</v>
      </c>
      <c r="G435" s="636">
        <f>SUM(G436:G439)</f>
        <v>1717333</v>
      </c>
      <c r="H435" s="635">
        <f>SUM(H436:H439)</f>
        <v>1168285</v>
      </c>
      <c r="I435" s="634">
        <f>G435-H435</f>
        <v>549048</v>
      </c>
      <c r="J435" s="636">
        <f>SUM(J436:J439)</f>
        <v>260000</v>
      </c>
      <c r="K435" s="635">
        <f>SUM(K436:K439)</f>
        <v>3435693</v>
      </c>
      <c r="L435" s="634">
        <f>SUM(L436:L439)</f>
        <v>2549861</v>
      </c>
      <c r="M435" s="633" t="s">
        <v>1654</v>
      </c>
    </row>
    <row r="436" spans="1:13" s="598" customFormat="1" ht="18" customHeight="1">
      <c r="A436" s="618" t="s">
        <v>1722</v>
      </c>
      <c r="B436" s="632" t="s">
        <v>430</v>
      </c>
      <c r="C436" s="631">
        <f>D436+G436+J436+K436+L436</f>
        <v>6659711</v>
      </c>
      <c r="D436" s="629">
        <v>0</v>
      </c>
      <c r="E436" s="628">
        <v>0</v>
      </c>
      <c r="F436" s="630">
        <v>0</v>
      </c>
      <c r="G436" s="629">
        <v>1717333</v>
      </c>
      <c r="H436" s="628">
        <v>1168285</v>
      </c>
      <c r="I436" s="627">
        <f>G436-H436</f>
        <v>549048</v>
      </c>
      <c r="J436" s="629">
        <v>260000</v>
      </c>
      <c r="K436" s="628">
        <v>2785427</v>
      </c>
      <c r="L436" s="627">
        <v>1896951</v>
      </c>
      <c r="M436" s="606" t="s">
        <v>1721</v>
      </c>
    </row>
    <row r="437" spans="1:13" s="598" customFormat="1" ht="18" customHeight="1">
      <c r="A437" s="618" t="s">
        <v>1720</v>
      </c>
      <c r="B437" s="617" t="s">
        <v>432</v>
      </c>
      <c r="C437" s="616">
        <f>D437+G437+J437+K437+L437</f>
        <v>1071238</v>
      </c>
      <c r="D437" s="615">
        <v>0</v>
      </c>
      <c r="E437" s="614">
        <v>0</v>
      </c>
      <c r="F437" s="626">
        <v>0</v>
      </c>
      <c r="G437" s="615">
        <v>0</v>
      </c>
      <c r="H437" s="614">
        <v>0</v>
      </c>
      <c r="I437" s="613">
        <v>0</v>
      </c>
      <c r="J437" s="615">
        <v>0</v>
      </c>
      <c r="K437" s="614">
        <v>642623</v>
      </c>
      <c r="L437" s="613">
        <v>428615</v>
      </c>
      <c r="M437" s="606" t="s">
        <v>1719</v>
      </c>
    </row>
    <row r="438" spans="1:13" s="598" customFormat="1" ht="18" customHeight="1">
      <c r="A438" s="618" t="s">
        <v>1718</v>
      </c>
      <c r="B438" s="617" t="s">
        <v>434</v>
      </c>
      <c r="C438" s="616">
        <f>D438+G438+J438+K438+L438</f>
        <v>12738</v>
      </c>
      <c r="D438" s="615">
        <v>0</v>
      </c>
      <c r="E438" s="614">
        <v>0</v>
      </c>
      <c r="F438" s="626">
        <v>0</v>
      </c>
      <c r="G438" s="615">
        <v>0</v>
      </c>
      <c r="H438" s="614">
        <v>0</v>
      </c>
      <c r="I438" s="613">
        <v>0</v>
      </c>
      <c r="J438" s="615">
        <v>0</v>
      </c>
      <c r="K438" s="614">
        <v>7643</v>
      </c>
      <c r="L438" s="613">
        <v>5095</v>
      </c>
      <c r="M438" s="606" t="s">
        <v>1717</v>
      </c>
    </row>
    <row r="439" spans="1:13" s="598" customFormat="1" ht="18" customHeight="1">
      <c r="A439" s="618" t="s">
        <v>1716</v>
      </c>
      <c r="B439" s="617" t="s">
        <v>902</v>
      </c>
      <c r="C439" s="616">
        <f>D439+G439+J439+K439+L439</f>
        <v>219200</v>
      </c>
      <c r="D439" s="615">
        <v>0</v>
      </c>
      <c r="E439" s="614">
        <v>0</v>
      </c>
      <c r="F439" s="626">
        <v>0</v>
      </c>
      <c r="G439" s="615">
        <v>0</v>
      </c>
      <c r="H439" s="614">
        <v>0</v>
      </c>
      <c r="I439" s="613">
        <v>0</v>
      </c>
      <c r="J439" s="615">
        <v>0</v>
      </c>
      <c r="K439" s="614">
        <v>0</v>
      </c>
      <c r="L439" s="613">
        <v>219200</v>
      </c>
      <c r="M439" s="606"/>
    </row>
    <row r="440" spans="1:13" s="598" customFormat="1" ht="18" customHeight="1">
      <c r="A440" s="618"/>
      <c r="B440" s="624" t="s">
        <v>1651</v>
      </c>
      <c r="C440" s="623">
        <f>SUM(C441:C444)</f>
        <v>7962887</v>
      </c>
      <c r="D440" s="621">
        <f>SUM(D441:D444)</f>
        <v>0</v>
      </c>
      <c r="E440" s="620">
        <f>D440-F440</f>
        <v>0</v>
      </c>
      <c r="F440" s="622">
        <f>SUM(F441:F444)</f>
        <v>0</v>
      </c>
      <c r="G440" s="621">
        <v>1717333</v>
      </c>
      <c r="H440" s="620">
        <v>1168285</v>
      </c>
      <c r="I440" s="620">
        <f>G440-H440</f>
        <v>549048</v>
      </c>
      <c r="J440" s="621">
        <f>SUM(J441:J444)</f>
        <v>260000</v>
      </c>
      <c r="K440" s="620">
        <f>SUM(K441:K444)</f>
        <v>931693</v>
      </c>
      <c r="L440" s="619">
        <f>C440-D440-G440-J440-K440</f>
        <v>5053861</v>
      </c>
      <c r="M440" s="606"/>
    </row>
    <row r="441" spans="1:13" s="598" customFormat="1" ht="18" customHeight="1">
      <c r="A441" s="618"/>
      <c r="B441" s="617" t="s">
        <v>430</v>
      </c>
      <c r="C441" s="616">
        <f>D441+G441+J441+K441+L441</f>
        <v>6659711</v>
      </c>
      <c r="D441" s="615">
        <v>0</v>
      </c>
      <c r="E441" s="614">
        <v>0</v>
      </c>
      <c r="F441" s="626">
        <v>0</v>
      </c>
      <c r="G441" s="615">
        <v>1717333</v>
      </c>
      <c r="H441" s="614">
        <v>1168285</v>
      </c>
      <c r="I441" s="614">
        <v>549048</v>
      </c>
      <c r="J441" s="615">
        <v>260000</v>
      </c>
      <c r="K441" s="614">
        <v>785427</v>
      </c>
      <c r="L441" s="613">
        <v>3896951</v>
      </c>
      <c r="M441" s="606"/>
    </row>
    <row r="442" spans="1:13" s="598" customFormat="1" ht="18" customHeight="1">
      <c r="A442" s="618" t="s">
        <v>1702</v>
      </c>
      <c r="B442" s="617" t="s">
        <v>432</v>
      </c>
      <c r="C442" s="616">
        <f>D442+G442+J442+K442+L442</f>
        <v>1071238</v>
      </c>
      <c r="D442" s="615">
        <v>0</v>
      </c>
      <c r="E442" s="614">
        <v>0</v>
      </c>
      <c r="F442" s="626">
        <v>0</v>
      </c>
      <c r="G442" s="615">
        <v>0</v>
      </c>
      <c r="H442" s="614">
        <v>0</v>
      </c>
      <c r="I442" s="613">
        <v>0</v>
      </c>
      <c r="J442" s="615">
        <v>0</v>
      </c>
      <c r="K442" s="614">
        <v>142623</v>
      </c>
      <c r="L442" s="613">
        <v>928615</v>
      </c>
      <c r="M442" s="606"/>
    </row>
    <row r="443" spans="1:13" s="598" customFormat="1" ht="18" customHeight="1">
      <c r="A443" s="618"/>
      <c r="B443" s="617" t="s">
        <v>434</v>
      </c>
      <c r="C443" s="616">
        <f>D443+G443+J443+K443+L443</f>
        <v>12738</v>
      </c>
      <c r="D443" s="615">
        <v>0</v>
      </c>
      <c r="E443" s="614">
        <v>0</v>
      </c>
      <c r="F443" s="626">
        <v>0</v>
      </c>
      <c r="G443" s="615">
        <v>0</v>
      </c>
      <c r="H443" s="614">
        <v>0</v>
      </c>
      <c r="I443" s="613">
        <v>0</v>
      </c>
      <c r="J443" s="615">
        <v>0</v>
      </c>
      <c r="K443" s="614">
        <v>3643</v>
      </c>
      <c r="L443" s="613">
        <v>9095</v>
      </c>
      <c r="M443" s="606"/>
    </row>
    <row r="444" spans="1:13" s="598" customFormat="1" ht="18" customHeight="1">
      <c r="A444" s="612" t="s">
        <v>1699</v>
      </c>
      <c r="B444" s="611" t="s">
        <v>902</v>
      </c>
      <c r="C444" s="610">
        <f>D444+G444+J444+K444+L444</f>
        <v>219200</v>
      </c>
      <c r="D444" s="609">
        <v>0</v>
      </c>
      <c r="E444" s="608">
        <v>0</v>
      </c>
      <c r="F444" s="642">
        <v>0</v>
      </c>
      <c r="G444" s="609">
        <v>0</v>
      </c>
      <c r="H444" s="608">
        <v>0</v>
      </c>
      <c r="I444" s="607">
        <v>0</v>
      </c>
      <c r="J444" s="609">
        <v>0</v>
      </c>
      <c r="K444" s="608"/>
      <c r="L444" s="607">
        <v>219200</v>
      </c>
      <c r="M444" s="606"/>
    </row>
    <row r="445" spans="1:13" s="598" customFormat="1" ht="18" customHeight="1" thickBot="1">
      <c r="A445" s="605"/>
      <c r="B445" s="604" t="s">
        <v>1649</v>
      </c>
      <c r="C445" s="603">
        <f t="shared" ref="C445:L445" si="86">C440-C435</f>
        <v>0</v>
      </c>
      <c r="D445" s="602">
        <f t="shared" si="86"/>
        <v>0</v>
      </c>
      <c r="E445" s="601">
        <f t="shared" si="86"/>
        <v>0</v>
      </c>
      <c r="F445" s="641">
        <f t="shared" si="86"/>
        <v>0</v>
      </c>
      <c r="G445" s="602">
        <f t="shared" si="86"/>
        <v>0</v>
      </c>
      <c r="H445" s="601">
        <f t="shared" si="86"/>
        <v>0</v>
      </c>
      <c r="I445" s="600">
        <f t="shared" si="86"/>
        <v>0</v>
      </c>
      <c r="J445" s="602">
        <f t="shared" si="86"/>
        <v>0</v>
      </c>
      <c r="K445" s="601">
        <f t="shared" si="86"/>
        <v>-2504000</v>
      </c>
      <c r="L445" s="600">
        <f t="shared" si="86"/>
        <v>2504000</v>
      </c>
      <c r="M445" s="599" t="s">
        <v>1715</v>
      </c>
    </row>
    <row r="446" spans="1:13" s="598" customFormat="1" ht="21" customHeight="1">
      <c r="A446" s="640" t="s">
        <v>1714</v>
      </c>
      <c r="B446" s="639" t="s">
        <v>1653</v>
      </c>
      <c r="C446" s="638">
        <f>SUM(C447:C450)</f>
        <v>7200407</v>
      </c>
      <c r="D446" s="636">
        <f>SUM(D447:D450)</f>
        <v>0</v>
      </c>
      <c r="E446" s="635">
        <f>D446-F446</f>
        <v>0</v>
      </c>
      <c r="F446" s="637">
        <f>SUM(F447:F450)</f>
        <v>0</v>
      </c>
      <c r="G446" s="636">
        <f>SUM(G447:G450)</f>
        <v>1154853</v>
      </c>
      <c r="H446" s="635">
        <f>SUM(H447:H450)</f>
        <v>924117</v>
      </c>
      <c r="I446" s="634">
        <f>G446-H446</f>
        <v>230736</v>
      </c>
      <c r="J446" s="636">
        <f>SUM(J447:J450)</f>
        <v>3495693</v>
      </c>
      <c r="K446" s="635">
        <f>SUM(K447:K450)</f>
        <v>2549861</v>
      </c>
      <c r="L446" s="634">
        <f>SUM(L447:L450)</f>
        <v>0</v>
      </c>
      <c r="M446" s="633" t="s">
        <v>1713</v>
      </c>
    </row>
    <row r="447" spans="1:13" s="598" customFormat="1" ht="21" customHeight="1">
      <c r="A447" s="618" t="s">
        <v>1712</v>
      </c>
      <c r="B447" s="632" t="s">
        <v>430</v>
      </c>
      <c r="C447" s="631">
        <f>D447+G447+J447+K447+L447</f>
        <v>5897231</v>
      </c>
      <c r="D447" s="629">
        <v>0</v>
      </c>
      <c r="E447" s="628">
        <v>0</v>
      </c>
      <c r="F447" s="630">
        <v>0</v>
      </c>
      <c r="G447" s="629">
        <v>1154853</v>
      </c>
      <c r="H447" s="628">
        <v>924117</v>
      </c>
      <c r="I447" s="627">
        <f>G447-H447</f>
        <v>230736</v>
      </c>
      <c r="J447" s="629">
        <v>2845427</v>
      </c>
      <c r="K447" s="628">
        <v>1896951</v>
      </c>
      <c r="L447" s="627"/>
      <c r="M447" s="606" t="s">
        <v>1711</v>
      </c>
    </row>
    <row r="448" spans="1:13" s="598" customFormat="1" ht="21" customHeight="1">
      <c r="A448" s="618" t="s">
        <v>1710</v>
      </c>
      <c r="B448" s="617" t="s">
        <v>432</v>
      </c>
      <c r="C448" s="616">
        <f>D448+G448+J448+K448+L448</f>
        <v>1071238</v>
      </c>
      <c r="D448" s="615">
        <v>0</v>
      </c>
      <c r="E448" s="614">
        <v>0</v>
      </c>
      <c r="F448" s="626">
        <v>0</v>
      </c>
      <c r="G448" s="615">
        <v>0</v>
      </c>
      <c r="H448" s="614">
        <v>0</v>
      </c>
      <c r="I448" s="613">
        <v>0</v>
      </c>
      <c r="J448" s="615">
        <v>642623</v>
      </c>
      <c r="K448" s="614">
        <v>428615</v>
      </c>
      <c r="L448" s="613"/>
      <c r="M448" s="606" t="s">
        <v>1709</v>
      </c>
    </row>
    <row r="449" spans="1:13" s="598" customFormat="1" ht="21" customHeight="1">
      <c r="A449" s="618" t="s">
        <v>1708</v>
      </c>
      <c r="B449" s="617" t="s">
        <v>434</v>
      </c>
      <c r="C449" s="616">
        <f>D449+G449+J449+K449+L449</f>
        <v>12738</v>
      </c>
      <c r="D449" s="615">
        <v>0</v>
      </c>
      <c r="E449" s="614">
        <v>0</v>
      </c>
      <c r="F449" s="626">
        <v>0</v>
      </c>
      <c r="G449" s="615">
        <v>0</v>
      </c>
      <c r="H449" s="614">
        <v>0</v>
      </c>
      <c r="I449" s="613">
        <v>0</v>
      </c>
      <c r="J449" s="615">
        <v>7643</v>
      </c>
      <c r="K449" s="614">
        <v>5095</v>
      </c>
      <c r="L449" s="613"/>
      <c r="M449" s="606" t="s">
        <v>1707</v>
      </c>
    </row>
    <row r="450" spans="1:13" s="598" customFormat="1" ht="21" customHeight="1">
      <c r="A450" s="618" t="s">
        <v>1706</v>
      </c>
      <c r="B450" s="617" t="s">
        <v>902</v>
      </c>
      <c r="C450" s="616">
        <f>D450+G450+J450+K450+L450</f>
        <v>219200</v>
      </c>
      <c r="D450" s="615">
        <v>0</v>
      </c>
      <c r="E450" s="614">
        <v>0</v>
      </c>
      <c r="F450" s="626">
        <v>0</v>
      </c>
      <c r="G450" s="615">
        <v>0</v>
      </c>
      <c r="H450" s="614">
        <v>0</v>
      </c>
      <c r="I450" s="613">
        <v>0</v>
      </c>
      <c r="J450" s="615"/>
      <c r="K450" s="614">
        <v>219200</v>
      </c>
      <c r="L450" s="613"/>
      <c r="M450" s="625" t="s">
        <v>1652</v>
      </c>
    </row>
    <row r="451" spans="1:13" s="598" customFormat="1" ht="21" customHeight="1">
      <c r="A451" s="618" t="s">
        <v>1705</v>
      </c>
      <c r="B451" s="624" t="s">
        <v>1651</v>
      </c>
      <c r="C451" s="623">
        <f>SUM(C452:C455)</f>
        <v>7200407</v>
      </c>
      <c r="D451" s="621">
        <f>SUM(D452:D455)</f>
        <v>0</v>
      </c>
      <c r="E451" s="620">
        <f>D451-F451</f>
        <v>0</v>
      </c>
      <c r="F451" s="622">
        <f>SUM(F452:F455)</f>
        <v>0</v>
      </c>
      <c r="G451" s="621">
        <f>SUM(G452:G455)</f>
        <v>1154853</v>
      </c>
      <c r="H451" s="620">
        <f>SUM(H452:H455)</f>
        <v>924117</v>
      </c>
      <c r="I451" s="619">
        <f>G451-H451</f>
        <v>230736</v>
      </c>
      <c r="J451" s="621">
        <f>SUM(J452:J455)</f>
        <v>60000</v>
      </c>
      <c r="K451" s="620">
        <f>SUM(K452:K455)</f>
        <v>3909931</v>
      </c>
      <c r="L451" s="619">
        <f>C451-D451-G451-J451-K451</f>
        <v>2075623</v>
      </c>
      <c r="M451" s="606" t="s">
        <v>1704</v>
      </c>
    </row>
    <row r="452" spans="1:13" s="598" customFormat="1" ht="21" customHeight="1">
      <c r="A452" s="618"/>
      <c r="B452" s="617" t="s">
        <v>430</v>
      </c>
      <c r="C452" s="616">
        <f>D452+G452+J452+K452+L452</f>
        <v>5897231</v>
      </c>
      <c r="D452" s="615">
        <v>0</v>
      </c>
      <c r="E452" s="614">
        <v>0</v>
      </c>
      <c r="F452" s="613">
        <f>D452-E452</f>
        <v>0</v>
      </c>
      <c r="G452" s="615">
        <v>1154853</v>
      </c>
      <c r="H452" s="614">
        <v>924117</v>
      </c>
      <c r="I452" s="613">
        <v>230736</v>
      </c>
      <c r="J452" s="615">
        <v>60000</v>
      </c>
      <c r="K452" s="614">
        <v>3259665</v>
      </c>
      <c r="L452" s="613">
        <v>1422713</v>
      </c>
      <c r="M452" s="606" t="s">
        <v>1703</v>
      </c>
    </row>
    <row r="453" spans="1:13" s="598" customFormat="1" ht="21" customHeight="1">
      <c r="A453" s="618" t="s">
        <v>1702</v>
      </c>
      <c r="B453" s="617" t="s">
        <v>432</v>
      </c>
      <c r="C453" s="616">
        <f>D453+G453+J453+K453+L453</f>
        <v>1071238</v>
      </c>
      <c r="D453" s="615">
        <v>0</v>
      </c>
      <c r="E453" s="614">
        <v>0</v>
      </c>
      <c r="F453" s="613">
        <f>D453-E453</f>
        <v>0</v>
      </c>
      <c r="G453" s="615">
        <v>0</v>
      </c>
      <c r="H453" s="614">
        <v>0</v>
      </c>
      <c r="I453" s="613">
        <v>0</v>
      </c>
      <c r="J453" s="615">
        <v>0</v>
      </c>
      <c r="K453" s="614">
        <v>642623</v>
      </c>
      <c r="L453" s="613">
        <v>428615</v>
      </c>
      <c r="M453" s="606" t="s">
        <v>1701</v>
      </c>
    </row>
    <row r="454" spans="1:13" s="598" customFormat="1" ht="21" customHeight="1">
      <c r="A454" s="618"/>
      <c r="B454" s="617" t="s">
        <v>434</v>
      </c>
      <c r="C454" s="616">
        <f>D454+G454+J454+K454+L454</f>
        <v>12738</v>
      </c>
      <c r="D454" s="615">
        <v>0</v>
      </c>
      <c r="E454" s="614">
        <v>0</v>
      </c>
      <c r="F454" s="613">
        <f>D454-E454</f>
        <v>0</v>
      </c>
      <c r="G454" s="615">
        <v>0</v>
      </c>
      <c r="H454" s="614">
        <v>0</v>
      </c>
      <c r="I454" s="613">
        <v>0</v>
      </c>
      <c r="J454" s="615">
        <v>0</v>
      </c>
      <c r="K454" s="614">
        <v>7643</v>
      </c>
      <c r="L454" s="613">
        <v>5095</v>
      </c>
      <c r="M454" s="606" t="s">
        <v>1700</v>
      </c>
    </row>
    <row r="455" spans="1:13" s="598" customFormat="1" ht="21" customHeight="1">
      <c r="A455" s="612" t="s">
        <v>1699</v>
      </c>
      <c r="B455" s="611" t="s">
        <v>902</v>
      </c>
      <c r="C455" s="610">
        <f>D455+G455+J455+K455+L455</f>
        <v>219200</v>
      </c>
      <c r="D455" s="609">
        <v>0</v>
      </c>
      <c r="E455" s="608">
        <v>0</v>
      </c>
      <c r="F455" s="607">
        <f>D455-E455</f>
        <v>0</v>
      </c>
      <c r="G455" s="609">
        <v>0</v>
      </c>
      <c r="H455" s="608">
        <v>0</v>
      </c>
      <c r="I455" s="607">
        <v>0</v>
      </c>
      <c r="J455" s="609">
        <v>0</v>
      </c>
      <c r="K455" s="608"/>
      <c r="L455" s="607">
        <v>219200</v>
      </c>
      <c r="M455" s="606"/>
    </row>
    <row r="456" spans="1:13" s="598" customFormat="1" ht="21" customHeight="1" thickBot="1">
      <c r="A456" s="605"/>
      <c r="B456" s="604" t="s">
        <v>1649</v>
      </c>
      <c r="C456" s="603">
        <f t="shared" ref="C456:L456" si="87">C451-C446</f>
        <v>0</v>
      </c>
      <c r="D456" s="602">
        <f t="shared" si="87"/>
        <v>0</v>
      </c>
      <c r="E456" s="601">
        <f t="shared" si="87"/>
        <v>0</v>
      </c>
      <c r="F456" s="600">
        <f t="shared" si="87"/>
        <v>0</v>
      </c>
      <c r="G456" s="602">
        <f t="shared" si="87"/>
        <v>0</v>
      </c>
      <c r="H456" s="601">
        <f t="shared" si="87"/>
        <v>0</v>
      </c>
      <c r="I456" s="600">
        <f t="shared" si="87"/>
        <v>0</v>
      </c>
      <c r="J456" s="602">
        <f t="shared" si="87"/>
        <v>-3435693</v>
      </c>
      <c r="K456" s="601">
        <f t="shared" si="87"/>
        <v>1360070</v>
      </c>
      <c r="L456" s="600">
        <f t="shared" si="87"/>
        <v>2075623</v>
      </c>
      <c r="M456" s="599" t="s">
        <v>1698</v>
      </c>
    </row>
  </sheetData>
  <mergeCells count="10">
    <mergeCell ref="G3:I3"/>
    <mergeCell ref="A1:M1"/>
    <mergeCell ref="A3:A4"/>
    <mergeCell ref="B3:B4"/>
    <mergeCell ref="C3:C4"/>
    <mergeCell ref="D3:F3"/>
    <mergeCell ref="J3:J4"/>
    <mergeCell ref="K3:K4"/>
    <mergeCell ref="L3:L4"/>
    <mergeCell ref="M3:M4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horizontalDpi="1200" r:id="rId1"/>
  <rowBreaks count="1" manualBreakCount="1">
    <brk id="31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O3" sqref="O3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562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471" t="s">
        <v>1692</v>
      </c>
      <c r="B1" s="472"/>
      <c r="C1" s="472"/>
      <c r="D1" s="472"/>
      <c r="E1" s="472"/>
      <c r="F1" s="472"/>
      <c r="G1" s="473"/>
      <c r="H1" s="474" t="s">
        <v>145</v>
      </c>
      <c r="I1" s="475">
        <v>42834815</v>
      </c>
      <c r="J1" s="476" t="s">
        <v>164</v>
      </c>
      <c r="K1" s="477">
        <f>IFERROR(INDEX('3. 일출(자체)'!R:R,MATCH("*예비비*",'3. 일출(자체)'!L:L,0)),0)</f>
        <v>0</v>
      </c>
      <c r="L1" s="476" t="s">
        <v>165</v>
      </c>
      <c r="M1" s="478">
        <f>IFERROR(I1+K1,0)</f>
        <v>42834815</v>
      </c>
      <c r="O1" s="328"/>
    </row>
    <row r="2" spans="1:15" ht="24.9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9" t="s">
        <v>162</v>
      </c>
    </row>
    <row r="3" spans="1:15" ht="35.25" customHeight="1">
      <c r="A3" s="986" t="s">
        <v>148</v>
      </c>
      <c r="B3" s="480" t="s">
        <v>161</v>
      </c>
      <c r="C3" s="481"/>
      <c r="D3" s="481"/>
      <c r="E3" s="481"/>
      <c r="F3" s="481"/>
      <c r="G3" s="473"/>
      <c r="H3" s="986" t="s">
        <v>148</v>
      </c>
      <c r="I3" s="480" t="s">
        <v>163</v>
      </c>
      <c r="J3" s="481"/>
      <c r="K3" s="481"/>
      <c r="L3" s="481"/>
      <c r="M3" s="481"/>
    </row>
    <row r="4" spans="1:15" ht="29.25" customHeight="1">
      <c r="A4" s="987"/>
      <c r="B4" s="482" t="s">
        <v>149</v>
      </c>
      <c r="C4" s="482" t="s">
        <v>150</v>
      </c>
      <c r="D4" s="482" t="s">
        <v>151</v>
      </c>
      <c r="E4" s="482" t="s">
        <v>150</v>
      </c>
      <c r="F4" s="482" t="s">
        <v>152</v>
      </c>
      <c r="G4" s="473"/>
      <c r="H4" s="987"/>
      <c r="I4" s="482" t="s">
        <v>149</v>
      </c>
      <c r="J4" s="482" t="s">
        <v>150</v>
      </c>
      <c r="K4" s="482" t="s">
        <v>151</v>
      </c>
      <c r="L4" s="482" t="s">
        <v>150</v>
      </c>
      <c r="M4" s="482" t="s">
        <v>152</v>
      </c>
    </row>
    <row r="5" spans="1:15" ht="24.95" customHeight="1">
      <c r="A5" s="483" t="s">
        <v>153</v>
      </c>
      <c r="B5" s="484">
        <f>B6+B9</f>
        <v>2352670</v>
      </c>
      <c r="C5" s="485" t="str">
        <f>IF(B5='3. 일입'!$N$7, "OK","@@")</f>
        <v>OK</v>
      </c>
      <c r="D5" s="484">
        <f>D6+D9</f>
        <v>12467224</v>
      </c>
      <c r="E5" s="485" t="str">
        <f>IF(D5=SUM('3. 일출(자체)'!$P$6, '3. 일출(의존)'!$P$6), "OK","@@")</f>
        <v>OK</v>
      </c>
      <c r="F5" s="484">
        <f>F6+F9</f>
        <v>10114554</v>
      </c>
      <c r="G5" s="473"/>
      <c r="H5" s="483" t="s">
        <v>153</v>
      </c>
      <c r="I5" s="484">
        <f>I6+I9</f>
        <v>0</v>
      </c>
      <c r="J5" s="485" t="str">
        <f>IF(I5=SUM('3. 일입'!P7:P7),"OK","@@")</f>
        <v>OK</v>
      </c>
      <c r="K5" s="484">
        <f>K6+K9</f>
        <v>0</v>
      </c>
      <c r="L5" s="485" t="str">
        <f>IF(K5=(SUM('3. 일출(자체)'!$R$6)+SUM('3. 일출(의존)'!$R$6)),"OK","@@")</f>
        <v>OK</v>
      </c>
      <c r="M5" s="484">
        <f>M6+M9</f>
        <v>0</v>
      </c>
      <c r="N5" s="562" t="str">
        <f>IF(M5=0,"OK","@@")</f>
        <v>OK</v>
      </c>
    </row>
    <row r="6" spans="1:15" ht="24.95" customHeight="1">
      <c r="A6" s="486" t="s">
        <v>154</v>
      </c>
      <c r="B6" s="487">
        <f>B7+B8</f>
        <v>4250</v>
      </c>
      <c r="C6" s="488" t="str">
        <f>IF(B6=SUM('3. 일입'!$AB$7,'3. 일입'!$AC$7,'3. 일입'!$AD$7),"OK","@@")</f>
        <v>OK</v>
      </c>
      <c r="D6" s="487">
        <f>D7+D8</f>
        <v>10118804</v>
      </c>
      <c r="E6" s="488" t="str">
        <f>IF(D6=SUM(SUM('3. 일출(자체)'!$AC$6, '3. 일출(자체)'!$AD$6, '3. 일출(자체)'!$AE$6), SUM('3. 일출(의존)'!$AC$6, '3. 일출(의존)'!$AD$6, '3. 일출(의존)'!$AE$6)), "OK", "@@")</f>
        <v>OK</v>
      </c>
      <c r="F6" s="487">
        <f>F7+F8</f>
        <v>10114554</v>
      </c>
      <c r="G6" s="473"/>
      <c r="H6" s="486" t="s">
        <v>154</v>
      </c>
      <c r="I6" s="487">
        <f>I7+I8</f>
        <v>0</v>
      </c>
      <c r="J6" s="488" t="str">
        <f>IF(I6=SUM('3. 일입'!$AG$7,'3. 일입'!$AH$7,'3. 일입'!$AI$7),"OK","@@")</f>
        <v>OK</v>
      </c>
      <c r="K6" s="487">
        <f>K7+K8</f>
        <v>0</v>
      </c>
      <c r="L6" s="488" t="str">
        <f>IF(K6=SUM(SUM('3. 일출(자체)'!$AH$6, '3. 일출(자체)'!$AI$6, '3. 일출(자체)'!$AJ$6), SUM('3. 일출(의존)'!$AI$6, '3. 일출(의존)'!$AJ$6, '3. 일출(의존)'!$AK$6)), "OK", "@@")</f>
        <v>OK</v>
      </c>
      <c r="M6" s="487">
        <f>M7+M8</f>
        <v>0</v>
      </c>
      <c r="N6" s="562" t="str">
        <f>IF(M6=0,"OK","@@")</f>
        <v>OK</v>
      </c>
    </row>
    <row r="7" spans="1:15" ht="24.95" customHeight="1">
      <c r="A7" s="489" t="s">
        <v>155</v>
      </c>
      <c r="B7" s="477">
        <f xml:space="preserve"> SUMIFS('3. 일입'!$N$8:$N$1820, '3. 일입'!$Y$8:$Y$1820, "도비")</f>
        <v>4250</v>
      </c>
      <c r="C7" s="490"/>
      <c r="D7" s="477">
        <f>'3. 일출(자체)'!P6</f>
        <v>9805029</v>
      </c>
      <c r="E7" s="490"/>
      <c r="F7" s="477">
        <f>D7-B7</f>
        <v>9800779</v>
      </c>
      <c r="G7" s="473"/>
      <c r="H7" s="489" t="s">
        <v>155</v>
      </c>
      <c r="I7" s="477">
        <f xml:space="preserve"> SUMIFS('3. 일입'!$P$8:$P$1820, '3. 일입'!$Y$8:$Y$1820, "도비")</f>
        <v>0</v>
      </c>
      <c r="J7" s="490"/>
      <c r="K7" s="477">
        <f>'3. 일출(자체)'!R6</f>
        <v>0</v>
      </c>
      <c r="L7" s="490"/>
      <c r="M7" s="477">
        <f>K7-I7</f>
        <v>0</v>
      </c>
    </row>
    <row r="8" spans="1:15" ht="24.95" customHeight="1">
      <c r="A8" s="489" t="s">
        <v>156</v>
      </c>
      <c r="B8" s="477">
        <f xml:space="preserve"> SUMIFS('3. 일입'!$AD$7:$AD$1820, '3. 일입'!$AL$7:$AL$1820, "국비") + SUMIFS('3. 일입'!$AD$7:$AD$1820, '3. 일입'!$AL$7:$AL$1820, "균특") + SUMIFS('3. 일입'!$AD$7:$AD$1820, '3. 일입'!$AL$7:$AL$1820, "기금") + SUMIFS('3. 일입'!$AD$7:$AD$1820, '3. 일입'!$AL$7:$AL$1820, "특교") +SUMIFS('3. 일입'!$AD$7:$AD$1820, '3. 일입'!$AL$7:$AL$1820, "소교") + SUMIFS('3. 일입'!$AD$7:$AD$1820, '3. 일입'!$AL$7:$AL$1820, "소멸")</f>
        <v>0</v>
      </c>
      <c r="C8" s="490"/>
      <c r="D8" s="477">
        <f>'3. 일출(의존)'!AC6+'3. 일출(의존)'!AD6+'3. 일출(의존)'!AE6</f>
        <v>313775</v>
      </c>
      <c r="E8" s="490"/>
      <c r="F8" s="477">
        <f t="shared" ref="F8" si="0">D8-B8</f>
        <v>313775</v>
      </c>
      <c r="G8" s="473"/>
      <c r="H8" s="489" t="s">
        <v>156</v>
      </c>
      <c r="I8" s="477">
        <f xml:space="preserve"> SUMIFS('3. 일입'!$AI$7:$AI$1820, '3. 일입'!$AL$7:$AL$1820, "국비") + SUMIFS('3. 일입'!$AI$7:$AI$1820, '3. 일입'!$AL$7:$AL$1820, "균특") + SUMIFS('3. 일입'!$AI$7:$AI$1820, '3. 일입'!$AL$7:$AL$1820, "기금") + SUMIFS('3. 일입'!$AI$7:$AI$1820, '3. 일입'!$AL$7:$AL$1820, "특교") +SUMIFS('3. 일입'!$AI$7:$AI$1820, '3. 일입'!$AL$7:$AL$1820, "소교") + SUMIFS('3. 일입'!$AI$7:$AI$1820, '3. 일입'!$AL$7:$AL$1820, "소멸")</f>
        <v>0</v>
      </c>
      <c r="J8" s="490"/>
      <c r="K8" s="477">
        <f>'3. 일출(의존)'!AI6+'3. 일출(의존)'!AJ6+'3. 일출(의존)'!AK6</f>
        <v>0</v>
      </c>
      <c r="L8" s="490"/>
      <c r="M8" s="477">
        <f t="shared" ref="M8" si="1">K8-I8</f>
        <v>0</v>
      </c>
    </row>
    <row r="9" spans="1:15" ht="24.95" customHeight="1">
      <c r="A9" s="486" t="s">
        <v>157</v>
      </c>
      <c r="B9" s="487">
        <f>SUM(B10:B15)</f>
        <v>2348420</v>
      </c>
      <c r="C9" s="488" t="str">
        <f>IF(B9='3. 일입'!$AA$7,"OK","@@")</f>
        <v>OK</v>
      </c>
      <c r="D9" s="487">
        <f>SUM(D10:D15)</f>
        <v>2348420</v>
      </c>
      <c r="E9" s="488" t="str">
        <f>IF(D9='3. 일출(의존)'!$AB$6,"OK","@@")</f>
        <v>OK</v>
      </c>
      <c r="F9" s="487">
        <f>SUM(F10:F15)</f>
        <v>0</v>
      </c>
      <c r="G9" s="473"/>
      <c r="H9" s="486" t="s">
        <v>157</v>
      </c>
      <c r="I9" s="487">
        <f>SUM(I10:I15)</f>
        <v>0</v>
      </c>
      <c r="J9" s="488" t="str">
        <f>IF(I9='3. 일입'!$AF$7,"OK","@@")</f>
        <v>OK</v>
      </c>
      <c r="K9" s="487">
        <f>SUM(K10:K15)</f>
        <v>0</v>
      </c>
      <c r="L9" s="488" t="str">
        <f>IF(K9='3. 일출(의존)'!$AH$6,"OK","@@")</f>
        <v>OK</v>
      </c>
      <c r="M9" s="487">
        <f>SUM(M10:M15)</f>
        <v>0</v>
      </c>
      <c r="N9" s="562" t="str">
        <f>IF(M9=0,"OK","@@")</f>
        <v>OK</v>
      </c>
    </row>
    <row r="10" spans="1:15" ht="24.95" customHeight="1">
      <c r="A10" s="489" t="s">
        <v>158</v>
      </c>
      <c r="B10" s="477">
        <f xml:space="preserve"> SUMIFS('3. 일입'!$AA$8:$AA$1820, '3. 일입'!$AL$8:$AL$1820, $A10)</f>
        <v>2308420</v>
      </c>
      <c r="C10" s="490"/>
      <c r="D10" s="477">
        <f>SUMIFS('3. 일출(의존)'!$AB$7:$AB$1837, '3. 일출(의존)'!$AP$7:$AP$1837, A10)</f>
        <v>2308420</v>
      </c>
      <c r="E10" s="490"/>
      <c r="F10" s="477">
        <f t="shared" ref="F10:F15" si="2">D10-B10</f>
        <v>0</v>
      </c>
      <c r="G10" s="473"/>
      <c r="H10" s="489" t="s">
        <v>158</v>
      </c>
      <c r="I10" s="477">
        <f xml:space="preserve"> SUMIFS('3. 일입'!$AF$8:$AF$1820, '3. 일입'!$AL$8:$AL$1820, $A10)</f>
        <v>0</v>
      </c>
      <c r="J10" s="490"/>
      <c r="K10" s="477">
        <f>SUMIFS('3. 일출(의존)'!$AH$7:$AH$1826, '3. 일출(의존)'!$AP$7:$AP$1826, H10)</f>
        <v>0</v>
      </c>
      <c r="L10" s="490"/>
      <c r="M10" s="477">
        <f t="shared" ref="M10:M15" si="3">K10-I10</f>
        <v>0</v>
      </c>
    </row>
    <row r="11" spans="1:15" ht="24.95" customHeight="1">
      <c r="A11" s="489" t="s">
        <v>210</v>
      </c>
      <c r="B11" s="477">
        <f xml:space="preserve"> SUMIFS('3. 일입'!$AA$8:$AA$1820, '3. 일입'!$AL$8:$AL$1820, $A11)</f>
        <v>0</v>
      </c>
      <c r="C11" s="490"/>
      <c r="D11" s="477">
        <f>SUMIFS('3. 일출(의존)'!$AB$7:$AB$1837, '3. 일출(의존)'!$AP$7:$AP$1837, A11)</f>
        <v>0</v>
      </c>
      <c r="E11" s="490"/>
      <c r="F11" s="477">
        <f t="shared" si="2"/>
        <v>0</v>
      </c>
      <c r="G11" s="473"/>
      <c r="H11" s="489" t="s">
        <v>210</v>
      </c>
      <c r="I11" s="477">
        <f xml:space="preserve"> SUMIFS('3. 일입'!$AF$8:$AF$1820, '3. 일입'!$AL$8:$AL$1820, $A11)</f>
        <v>0</v>
      </c>
      <c r="J11" s="490"/>
      <c r="K11" s="477">
        <f>SUMIFS('3. 일출(의존)'!$AH$7:$AH$1826, '3. 일출(의존)'!$AP$7:$AP$1826, H11)</f>
        <v>0</v>
      </c>
      <c r="L11" s="490"/>
      <c r="M11" s="477">
        <f t="shared" si="3"/>
        <v>0</v>
      </c>
    </row>
    <row r="12" spans="1:15" ht="24.95" customHeight="1">
      <c r="A12" s="489" t="s">
        <v>159</v>
      </c>
      <c r="B12" s="477">
        <f xml:space="preserve"> SUMIFS('3. 일입'!$AA$8:$AA$1820, '3. 일입'!$AL$8:$AL$1820, $A12)</f>
        <v>40000</v>
      </c>
      <c r="C12" s="490"/>
      <c r="D12" s="477">
        <f>SUMIFS('3. 일출(의존)'!$AB$7:$AB$1837, '3. 일출(의존)'!$AP$7:$AP$1837, A12)</f>
        <v>40000</v>
      </c>
      <c r="E12" s="490"/>
      <c r="F12" s="477">
        <f t="shared" si="2"/>
        <v>0</v>
      </c>
      <c r="G12" s="473"/>
      <c r="H12" s="489" t="s">
        <v>159</v>
      </c>
      <c r="I12" s="477">
        <f xml:space="preserve"> SUMIFS('3. 일입'!$AF$8:$AF$1820, '3. 일입'!$AL$8:$AL$1820, $A12)</f>
        <v>0</v>
      </c>
      <c r="J12" s="490"/>
      <c r="K12" s="477">
        <f>SUMIFS('3. 일출(의존)'!$AH$7:$AH$1826, '3. 일출(의존)'!$AP$7:$AP$1826, H12)</f>
        <v>0</v>
      </c>
      <c r="L12" s="490"/>
      <c r="M12" s="477">
        <f t="shared" si="3"/>
        <v>0</v>
      </c>
    </row>
    <row r="13" spans="1:15" ht="24.95" customHeight="1">
      <c r="A13" s="489" t="s">
        <v>160</v>
      </c>
      <c r="B13" s="477">
        <f xml:space="preserve"> SUMIFS('3. 일입'!$AA$8:$AA$1820, '3. 일입'!$AL$8:$AL$1820, $A13)</f>
        <v>0</v>
      </c>
      <c r="C13" s="490"/>
      <c r="D13" s="477">
        <f>SUMIFS('3. 일출(의존)'!$AB$7:$AB$1837, '3. 일출(의존)'!$AP$7:$AP$1837, A13)</f>
        <v>0</v>
      </c>
      <c r="E13" s="490"/>
      <c r="F13" s="477">
        <f t="shared" si="2"/>
        <v>0</v>
      </c>
      <c r="G13" s="473"/>
      <c r="H13" s="489" t="s">
        <v>160</v>
      </c>
      <c r="I13" s="477">
        <f xml:space="preserve"> SUMIFS('3. 일입'!$AF$8:$AF$1820, '3. 일입'!$AL$8:$AL$1820, $A13)</f>
        <v>0</v>
      </c>
      <c r="J13" s="490"/>
      <c r="K13" s="477">
        <f>SUMIFS('3. 일출(의존)'!$AH$7:$AH$1826, '3. 일출(의존)'!$AP$7:$AP$1826, H13)</f>
        <v>0</v>
      </c>
      <c r="L13" s="490"/>
      <c r="M13" s="477">
        <f t="shared" si="3"/>
        <v>0</v>
      </c>
    </row>
    <row r="14" spans="1:15" s="19" customFormat="1" ht="24.95" customHeight="1">
      <c r="A14" s="489" t="s">
        <v>260</v>
      </c>
      <c r="B14" s="477">
        <f xml:space="preserve"> SUMIFS('3. 일입'!$AA$8:$AA$1820, '3. 일입'!$AL$8:$AL$1820, $A14)</f>
        <v>0</v>
      </c>
      <c r="C14" s="490"/>
      <c r="D14" s="477">
        <f>SUMIFS('3. 일출(의존)'!$AB$7:$AB$1837, '3. 일출(의존)'!$AP$7:$AP$1837, A14)</f>
        <v>0</v>
      </c>
      <c r="E14" s="490"/>
      <c r="F14" s="477">
        <f t="shared" si="2"/>
        <v>0</v>
      </c>
      <c r="G14" s="473"/>
      <c r="H14" s="489" t="s">
        <v>260</v>
      </c>
      <c r="I14" s="477">
        <f xml:space="preserve"> SUMIFS('3. 일입'!$AF$8:$AF$1820, '3. 일입'!$AL$8:$AL$1820, $A14)</f>
        <v>0</v>
      </c>
      <c r="J14" s="490"/>
      <c r="K14" s="477">
        <f>SUMIFS('3. 일출(의존)'!$AH$7:$AH$1826, '3. 일출(의존)'!$AP$7:$AP$1826, H14)</f>
        <v>0</v>
      </c>
      <c r="L14" s="490"/>
      <c r="M14" s="477">
        <f t="shared" si="3"/>
        <v>0</v>
      </c>
      <c r="N14" s="562"/>
    </row>
    <row r="15" spans="1:15" s="19" customFormat="1" ht="24.95" customHeight="1">
      <c r="A15" s="489" t="s">
        <v>1050</v>
      </c>
      <c r="B15" s="477">
        <f xml:space="preserve"> SUMIFS('3. 일입'!$AA$8:$AA$1820, '3. 일입'!$AL$8:$AL$1820, $A15)</f>
        <v>0</v>
      </c>
      <c r="C15" s="490"/>
      <c r="D15" s="477">
        <f>SUMIFS('3. 일출(의존)'!$AB$7:$AB$1837, '3. 일출(의존)'!$AP$7:$AP$1837, A15)</f>
        <v>0</v>
      </c>
      <c r="E15" s="490"/>
      <c r="F15" s="477">
        <f t="shared" si="2"/>
        <v>0</v>
      </c>
      <c r="G15" s="473"/>
      <c r="H15" s="489" t="s">
        <v>1050</v>
      </c>
      <c r="I15" s="477">
        <f xml:space="preserve"> SUMIFS('3. 일입'!$AF$8:$AF$1820, '3. 일입'!$AL$8:$AL$1820, $A15)</f>
        <v>0</v>
      </c>
      <c r="J15" s="490"/>
      <c r="K15" s="477">
        <f>SUMIFS('3. 일출(의존)'!$AH$7:$AH$1826, '3. 일출(의존)'!$AP$7:$AP$1826, H15)</f>
        <v>0</v>
      </c>
      <c r="L15" s="490"/>
      <c r="M15" s="477">
        <f t="shared" si="3"/>
        <v>0</v>
      </c>
      <c r="N15" s="562"/>
    </row>
    <row r="17" spans="1:14" ht="24.95" customHeight="1">
      <c r="A17" s="988" t="s">
        <v>1095</v>
      </c>
      <c r="B17" s="988"/>
      <c r="C17" s="988"/>
      <c r="D17" s="988"/>
      <c r="E17" s="988"/>
      <c r="F17" s="988"/>
    </row>
    <row r="18" spans="1:14" ht="24.95" customHeight="1">
      <c r="A18" s="986" t="s">
        <v>148</v>
      </c>
      <c r="B18" s="480" t="s">
        <v>161</v>
      </c>
      <c r="C18" s="481"/>
      <c r="D18" s="481"/>
      <c r="E18" s="481"/>
      <c r="F18" s="481"/>
      <c r="G18" s="473"/>
      <c r="H18" s="986" t="s">
        <v>148</v>
      </c>
      <c r="I18" s="480" t="s">
        <v>163</v>
      </c>
      <c r="J18" s="481"/>
      <c r="K18" s="481"/>
      <c r="L18" s="481"/>
      <c r="M18" s="481"/>
    </row>
    <row r="19" spans="1:14" ht="24.95" customHeight="1">
      <c r="A19" s="987"/>
      <c r="B19" s="482" t="s">
        <v>146</v>
      </c>
      <c r="C19" s="482" t="s">
        <v>120</v>
      </c>
      <c r="D19" s="482" t="s">
        <v>147</v>
      </c>
      <c r="E19" s="482" t="s">
        <v>120</v>
      </c>
      <c r="F19" s="482" t="s">
        <v>152</v>
      </c>
      <c r="G19" s="473"/>
      <c r="H19" s="987"/>
      <c r="I19" s="482" t="s">
        <v>146</v>
      </c>
      <c r="J19" s="482" t="s">
        <v>120</v>
      </c>
      <c r="K19" s="482" t="s">
        <v>147</v>
      </c>
      <c r="L19" s="482" t="s">
        <v>120</v>
      </c>
      <c r="M19" s="482" t="s">
        <v>152</v>
      </c>
    </row>
    <row r="20" spans="1:14" ht="24.95" customHeight="1">
      <c r="A20" s="483" t="s">
        <v>153</v>
      </c>
      <c r="B20" s="484">
        <f>B21+B24</f>
        <v>4250</v>
      </c>
      <c r="C20" s="485" t="str">
        <f>IF(B20=(SUMIFS('3. 일입'!AC:AC,'3. 일입'!AO:AO,"지방채")+SUMIFS('3. 일입'!AD:AD,'3. 일입'!AO:AO,"지역개발기금")),"OK","@@")</f>
        <v>OK</v>
      </c>
      <c r="D20" s="484">
        <f>D21+D24</f>
        <v>4250</v>
      </c>
      <c r="E20" s="485" t="str">
        <f>IF(D20=('3. 일출(자체)'!AD6+'3. 일출(자체)'!AE6+'3. 일출(의존)'!AD6+'3. 일출(의존)'!AE6),"OK","@@")</f>
        <v>OK</v>
      </c>
      <c r="F20" s="484">
        <f>F21+F24</f>
        <v>0</v>
      </c>
      <c r="G20" s="473"/>
      <c r="H20" s="483" t="s">
        <v>153</v>
      </c>
      <c r="I20" s="484">
        <f>I21+I24</f>
        <v>0</v>
      </c>
      <c r="J20" s="485" t="str">
        <f>IF(I20=(SUMIFS('3. 일입'!AH:AH,'3. 일입'!AO:AO,"지방채")+SUMIFS('3. 일입'!AI:AI,'3. 일입'!AO:AO,"지역개발기금")),"OK","@@")</f>
        <v>OK</v>
      </c>
      <c r="K20" s="484">
        <f>K21+K24</f>
        <v>0</v>
      </c>
      <c r="L20" s="485" t="str">
        <f>IF(K20=('3. 일출(자체)'!AI6+'3. 일출(자체)'!AJ6+'3. 일출(의존)'!AJ6+'3. 일출(의존)'!AK6),"OK","@@")</f>
        <v>OK</v>
      </c>
      <c r="M20" s="484">
        <f>M21+M24</f>
        <v>0</v>
      </c>
      <c r="N20" s="562" t="str">
        <f>IF(M20=0,"OK","@@")</f>
        <v>OK</v>
      </c>
    </row>
    <row r="21" spans="1:14" ht="24.95" customHeight="1">
      <c r="A21" s="486" t="s">
        <v>1096</v>
      </c>
      <c r="B21" s="487">
        <f>SUM(B22:B23)</f>
        <v>4250</v>
      </c>
      <c r="C21" s="488"/>
      <c r="D21" s="487">
        <f>SUM(D22:D23)</f>
        <v>0</v>
      </c>
      <c r="E21" s="488"/>
      <c r="F21" s="492"/>
      <c r="G21" s="473"/>
      <c r="H21" s="486" t="s">
        <v>1096</v>
      </c>
      <c r="I21" s="487">
        <f>SUM(I22:I23)</f>
        <v>0</v>
      </c>
      <c r="J21" s="488"/>
      <c r="K21" s="487">
        <f>SUM(K22:K23)</f>
        <v>0</v>
      </c>
      <c r="L21" s="488"/>
      <c r="M21" s="492"/>
    </row>
    <row r="22" spans="1:14" s="19" customFormat="1" ht="24.95" customHeight="1">
      <c r="A22" s="489" t="s">
        <v>1064</v>
      </c>
      <c r="B22" s="477">
        <f xml:space="preserve"> SUMIFS('3. 일입'!AC:AC,'3. 일입'!H:H,"=6*")</f>
        <v>4250</v>
      </c>
      <c r="C22" s="490"/>
      <c r="D22" s="477">
        <f>SUMIFS('3. 일출(자체)'!AD:AD,'3. 일출(자체)'!AO:AO,"지방채")</f>
        <v>0</v>
      </c>
      <c r="E22" s="490"/>
      <c r="F22" s="491"/>
      <c r="G22" s="473"/>
      <c r="H22" s="489" t="s">
        <v>1064</v>
      </c>
      <c r="I22" s="477">
        <f xml:space="preserve"> SUMIFS('3. 일입'!AH:AH,'3. 일입'!H:H,"=6*")</f>
        <v>0</v>
      </c>
      <c r="J22" s="490"/>
      <c r="K22" s="477">
        <f>SUMIFS('3. 일출(자체)'!AI:AI,'3. 일출(자체)'!AO:AO,"지방채")</f>
        <v>0</v>
      </c>
      <c r="L22" s="490"/>
      <c r="M22" s="491"/>
      <c r="N22" s="562"/>
    </row>
    <row r="23" spans="1:14" s="19" customFormat="1" ht="24.95" customHeight="1">
      <c r="A23" s="489" t="s">
        <v>776</v>
      </c>
      <c r="B23" s="477">
        <f xml:space="preserve"> SUMIFS('3. 일입'!AD:AD,'3. 일입'!H:H,"722-02")</f>
        <v>0</v>
      </c>
      <c r="C23" s="490"/>
      <c r="D23" s="477">
        <f>SUMIFS('3. 일출(자체)'!AE:AE,'3. 일출(자체)'!AO:AO,"지역개발기금")</f>
        <v>0</v>
      </c>
      <c r="E23" s="490"/>
      <c r="F23" s="491"/>
      <c r="G23" s="473"/>
      <c r="H23" s="489" t="s">
        <v>776</v>
      </c>
      <c r="I23" s="477">
        <f xml:space="preserve"> SUMIFS('3. 일입'!AI:AI,'3. 일입'!H:H,"722-02")</f>
        <v>0</v>
      </c>
      <c r="J23" s="490"/>
      <c r="K23" s="477">
        <f>SUMIFS('3. 일출(자체)'!AJ:AJ,'3. 일출(자체)'!AO:AO,"지역개발기금")</f>
        <v>0</v>
      </c>
      <c r="L23" s="490"/>
      <c r="M23" s="491"/>
      <c r="N23" s="562"/>
    </row>
    <row r="24" spans="1:14" ht="24.95" customHeight="1">
      <c r="A24" s="486" t="s">
        <v>1097</v>
      </c>
      <c r="B24" s="492"/>
      <c r="C24" s="488"/>
      <c r="D24" s="487">
        <f>SUM(D25:D26)</f>
        <v>4250</v>
      </c>
      <c r="E24" s="488"/>
      <c r="F24" s="492"/>
      <c r="G24" s="473"/>
      <c r="H24" s="486" t="s">
        <v>1097</v>
      </c>
      <c r="I24" s="492"/>
      <c r="J24" s="488"/>
      <c r="K24" s="487">
        <f>SUM(K25:K26)</f>
        <v>0</v>
      </c>
      <c r="L24" s="488"/>
      <c r="M24" s="492"/>
    </row>
    <row r="25" spans="1:14" ht="24.95" customHeight="1">
      <c r="A25" s="489" t="s">
        <v>1064</v>
      </c>
      <c r="B25" s="491"/>
      <c r="C25" s="490"/>
      <c r="D25" s="477">
        <f>SUMIFS('3. 일출(의존)'!AD:AD,'3. 일출(의존)'!AU:AU,"지방채")</f>
        <v>4250</v>
      </c>
      <c r="E25" s="490"/>
      <c r="F25" s="491"/>
      <c r="G25" s="473"/>
      <c r="H25" s="489" t="s">
        <v>1064</v>
      </c>
      <c r="I25" s="491"/>
      <c r="J25" s="490"/>
      <c r="K25" s="477">
        <f>SUMIFS('3. 일출(의존)'!AJ:AJ,'3. 일출(의존)'!AU:AU,"지방채")</f>
        <v>0</v>
      </c>
      <c r="L25" s="490"/>
      <c r="M25" s="491"/>
    </row>
    <row r="26" spans="1:14" ht="24.95" customHeight="1">
      <c r="A26" s="489" t="s">
        <v>776</v>
      </c>
      <c r="B26" s="491"/>
      <c r="C26" s="490"/>
      <c r="D26" s="477">
        <f>SUMIFS('3. 일출(의존)'!AE:AE,'3. 일출(의존)'!AU:AU,"지역개발기금")</f>
        <v>0</v>
      </c>
      <c r="E26" s="490"/>
      <c r="F26" s="491"/>
      <c r="G26" s="473"/>
      <c r="H26" s="489" t="s">
        <v>776</v>
      </c>
      <c r="I26" s="491"/>
      <c r="J26" s="490"/>
      <c r="K26" s="477">
        <f>SUMIFS('3. 일출(의존)'!AK:AK,'3. 일출(의존)'!AU:AU,"지역개발기금")</f>
        <v>0</v>
      </c>
      <c r="L26" s="490"/>
      <c r="M26" s="491"/>
    </row>
    <row r="28" spans="1:14" ht="24.95" customHeight="1">
      <c r="A28" s="989" t="s">
        <v>1669</v>
      </c>
      <c r="B28" s="989"/>
      <c r="C28" s="989"/>
      <c r="D28" s="989"/>
      <c r="E28" s="989"/>
      <c r="F28" s="989"/>
      <c r="G28" s="19"/>
      <c r="H28" s="19"/>
      <c r="I28" s="19"/>
      <c r="J28" s="19"/>
      <c r="K28" s="19"/>
      <c r="L28" s="19"/>
      <c r="M28" s="19"/>
    </row>
    <row r="29" spans="1:14" ht="24.95" customHeight="1">
      <c r="A29" s="986" t="s">
        <v>148</v>
      </c>
      <c r="B29" s="580" t="s">
        <v>161</v>
      </c>
      <c r="C29" s="581"/>
      <c r="D29" s="581"/>
      <c r="E29" s="581"/>
      <c r="F29" s="581"/>
      <c r="G29" s="473"/>
      <c r="H29" s="986" t="s">
        <v>148</v>
      </c>
      <c r="I29" s="580" t="s">
        <v>163</v>
      </c>
      <c r="J29" s="581"/>
      <c r="K29" s="581"/>
      <c r="L29" s="581"/>
      <c r="M29" s="581"/>
    </row>
    <row r="30" spans="1:14" ht="24.95" customHeight="1">
      <c r="A30" s="987"/>
      <c r="B30" s="582" t="s">
        <v>1675</v>
      </c>
      <c r="C30" s="583" t="s">
        <v>1670</v>
      </c>
      <c r="D30" s="584" t="s">
        <v>1671</v>
      </c>
      <c r="E30" s="583" t="s">
        <v>1672</v>
      </c>
      <c r="F30" s="584" t="s">
        <v>152</v>
      </c>
      <c r="G30" s="473"/>
      <c r="H30" s="987"/>
      <c r="I30" s="582" t="s">
        <v>1675</v>
      </c>
      <c r="J30" s="583" t="s">
        <v>1670</v>
      </c>
      <c r="K30" s="584" t="s">
        <v>1671</v>
      </c>
      <c r="L30" s="583" t="s">
        <v>1672</v>
      </c>
      <c r="M30" s="584" t="s">
        <v>152</v>
      </c>
    </row>
    <row r="31" spans="1:14" ht="24.95" customHeight="1">
      <c r="A31" s="585" t="s">
        <v>153</v>
      </c>
      <c r="B31" s="586">
        <f>SUM(B32:B33)</f>
        <v>0</v>
      </c>
      <c r="C31" s="587" t="str">
        <f>IF(B31='3. 일입'!$AD$7,"OK","@@")</f>
        <v>OK</v>
      </c>
      <c r="D31" s="586">
        <f>SUM(D32:D33)</f>
        <v>0</v>
      </c>
      <c r="E31" s="587" t="str">
        <f>IF(D31=B31,"OK","@@")</f>
        <v>OK</v>
      </c>
      <c r="F31" s="586">
        <f>D31-B31</f>
        <v>0</v>
      </c>
      <c r="G31" s="473"/>
      <c r="H31" s="585" t="s">
        <v>153</v>
      </c>
      <c r="I31" s="586">
        <f>SUM(I32:I33)</f>
        <v>0</v>
      </c>
      <c r="J31" s="587" t="str">
        <f>IF(I31='3. 일입'!$AI$7,"OK","@@")</f>
        <v>OK</v>
      </c>
      <c r="K31" s="586">
        <f>SUM(K32:K33)</f>
        <v>0</v>
      </c>
      <c r="L31" s="587" t="str">
        <f>IF(K31=I31,"OK","@@")</f>
        <v>OK</v>
      </c>
      <c r="M31" s="586">
        <f>K31-I31</f>
        <v>0</v>
      </c>
    </row>
    <row r="32" spans="1:14" ht="24.95" customHeight="1">
      <c r="A32" s="588" t="s">
        <v>1673</v>
      </c>
      <c r="B32" s="589">
        <f>'3. 일출(자체)'!AE6</f>
        <v>0</v>
      </c>
      <c r="C32" s="590"/>
      <c r="D32" s="990">
        <f>SUMIFS('5. 기출'!P:P,'5. 기출'!D:D,"예산담당관",'5. 기출'!H:H,"704-01",'5. 기출'!L:L,"도 융자금")</f>
        <v>0</v>
      </c>
      <c r="E32" s="590"/>
      <c r="F32" s="491"/>
      <c r="G32" s="473"/>
      <c r="H32" s="588" t="s">
        <v>1673</v>
      </c>
      <c r="I32" s="591">
        <f>'3. 일출(자체)'!AJ6</f>
        <v>0</v>
      </c>
      <c r="J32" s="590"/>
      <c r="K32" s="992">
        <f>SUMIFS('5. 기출'!R:R,'5. 기출'!D:D,"예산담당관",'5. 기출'!H:H,"704-01",'5. 기출'!L:L,"도 융자금")</f>
        <v>0</v>
      </c>
      <c r="L32" s="590"/>
      <c r="M32" s="592"/>
    </row>
    <row r="33" spans="1:13" ht="24.95" customHeight="1">
      <c r="A33" s="588" t="s">
        <v>1674</v>
      </c>
      <c r="B33" s="589">
        <f>'3. 일출(의존)'!AE6</f>
        <v>0</v>
      </c>
      <c r="C33" s="590"/>
      <c r="D33" s="991"/>
      <c r="E33" s="590"/>
      <c r="F33" s="491"/>
      <c r="G33" s="473"/>
      <c r="H33" s="588" t="s">
        <v>1674</v>
      </c>
      <c r="I33" s="591">
        <f>'3. 일출(의존)'!AK6</f>
        <v>0</v>
      </c>
      <c r="J33" s="590"/>
      <c r="K33" s="993"/>
      <c r="L33" s="590"/>
      <c r="M33" s="592"/>
    </row>
    <row r="35" spans="1:13" ht="24.95" customHeight="1">
      <c r="A35" s="989" t="s">
        <v>1676</v>
      </c>
      <c r="B35" s="989"/>
      <c r="C35" s="989"/>
      <c r="D35" s="989"/>
      <c r="E35" s="989"/>
      <c r="F35" s="989"/>
      <c r="G35" s="19"/>
      <c r="H35" s="19"/>
      <c r="I35" s="19"/>
      <c r="J35" s="19"/>
      <c r="K35" s="19"/>
      <c r="L35" s="19"/>
      <c r="M35" s="19"/>
    </row>
    <row r="36" spans="1:13" ht="24.95" customHeight="1">
      <c r="A36" s="986" t="s">
        <v>148</v>
      </c>
      <c r="B36" s="580" t="s">
        <v>161</v>
      </c>
      <c r="C36" s="581"/>
      <c r="D36" s="581"/>
      <c r="E36" s="581"/>
      <c r="F36" s="581"/>
      <c r="G36" s="473"/>
      <c r="H36" s="986" t="s">
        <v>148</v>
      </c>
      <c r="I36" s="580" t="s">
        <v>163</v>
      </c>
      <c r="J36" s="581"/>
      <c r="K36" s="581"/>
      <c r="L36" s="581"/>
      <c r="M36" s="581"/>
    </row>
    <row r="37" spans="1:13" ht="24.95" customHeight="1">
      <c r="A37" s="987"/>
      <c r="B37" s="582" t="s">
        <v>1677</v>
      </c>
      <c r="C37" s="584" t="s">
        <v>120</v>
      </c>
      <c r="D37" s="584" t="s">
        <v>1678</v>
      </c>
      <c r="E37" s="584" t="s">
        <v>120</v>
      </c>
      <c r="F37" s="584" t="s">
        <v>152</v>
      </c>
      <c r="G37" s="473"/>
      <c r="H37" s="987"/>
      <c r="I37" s="582" t="s">
        <v>1677</v>
      </c>
      <c r="J37" s="584" t="s">
        <v>120</v>
      </c>
      <c r="K37" s="584" t="s">
        <v>1678</v>
      </c>
      <c r="L37" s="584" t="s">
        <v>120</v>
      </c>
      <c r="M37" s="584" t="s">
        <v>152</v>
      </c>
    </row>
    <row r="38" spans="1:13" ht="24.95" customHeight="1">
      <c r="A38" s="585" t="s">
        <v>153</v>
      </c>
      <c r="B38" s="586">
        <f>B39+B43</f>
        <v>0</v>
      </c>
      <c r="C38" s="587"/>
      <c r="D38" s="586">
        <f>D39+D43</f>
        <v>0</v>
      </c>
      <c r="E38" s="587" t="str">
        <f>IF(D38=B38,"OK","@@")</f>
        <v>OK</v>
      </c>
      <c r="F38" s="586">
        <f>F39+F43</f>
        <v>0</v>
      </c>
      <c r="G38" s="473"/>
      <c r="H38" s="585" t="s">
        <v>153</v>
      </c>
      <c r="I38" s="586">
        <f>I39+I43</f>
        <v>0</v>
      </c>
      <c r="J38" s="587"/>
      <c r="K38" s="586">
        <f>K39+K43</f>
        <v>0</v>
      </c>
      <c r="L38" s="587" t="str">
        <f>IF(K38=I38,"OK","@@")</f>
        <v>OK</v>
      </c>
      <c r="M38" s="586">
        <f>M39+M43</f>
        <v>0</v>
      </c>
    </row>
    <row r="39" spans="1:13" ht="24.95" customHeight="1">
      <c r="A39" s="593" t="s">
        <v>1679</v>
      </c>
      <c r="B39" s="594">
        <f>SUM(B40:B42)</f>
        <v>0</v>
      </c>
      <c r="C39" s="595"/>
      <c r="D39" s="594">
        <f>D40+D42</f>
        <v>0</v>
      </c>
      <c r="E39" s="595" t="str">
        <f>IF(D39=B39,"OK","@@")</f>
        <v>OK</v>
      </c>
      <c r="F39" s="594">
        <f>D39-B39</f>
        <v>0</v>
      </c>
      <c r="G39" s="473"/>
      <c r="H39" s="593" t="s">
        <v>1679</v>
      </c>
      <c r="I39" s="594">
        <f>SUM(I40:I42)</f>
        <v>0</v>
      </c>
      <c r="J39" s="595"/>
      <c r="K39" s="594">
        <f>K40+K42</f>
        <v>0</v>
      </c>
      <c r="L39" s="595" t="str">
        <f>IF(K39=I39,"OK","@@")</f>
        <v>OK</v>
      </c>
      <c r="M39" s="594">
        <f>K39-I39</f>
        <v>0</v>
      </c>
    </row>
    <row r="40" spans="1:13" ht="24.95" customHeight="1">
      <c r="A40" s="588" t="s">
        <v>1680</v>
      </c>
      <c r="B40" s="589">
        <f>SUMIFS('3. 일출(자체)'!P:P,'3. 일출(자체)'!H:H,"701-01")</f>
        <v>0</v>
      </c>
      <c r="C40" s="994" t="s">
        <v>1681</v>
      </c>
      <c r="D40" s="990">
        <f>SUMIFS('4. 특입'!N:N,'4. 특입'!H:H,"721-03")+SUMIFS('3. 일입'!N:N,'3. 일입'!H:H,"721-03")</f>
        <v>0</v>
      </c>
      <c r="E40" s="997" t="s">
        <v>1682</v>
      </c>
      <c r="F40" s="491"/>
      <c r="G40" s="473"/>
      <c r="H40" s="588" t="s">
        <v>1680</v>
      </c>
      <c r="I40" s="591">
        <f>SUMIFS('3. 일출(자체)'!R:R,'3. 일출(자체)'!H:H,"701-01")</f>
        <v>0</v>
      </c>
      <c r="J40" s="994" t="s">
        <v>1681</v>
      </c>
      <c r="K40" s="992">
        <f>SUMIFS('4. 특입'!P:P,'4. 특입'!H:H,"721-03")+SUMIFS('3. 일입'!P:P,'3. 일입'!H:H,"721-03")</f>
        <v>0</v>
      </c>
      <c r="L40" s="997" t="s">
        <v>1682</v>
      </c>
      <c r="M40" s="592"/>
    </row>
    <row r="41" spans="1:13" ht="24.95" customHeight="1">
      <c r="A41" s="588" t="s">
        <v>1683</v>
      </c>
      <c r="B41" s="589">
        <f>SUMIFS('4. 특출'!P:P,'4. 특출'!H:H,"701-01")</f>
        <v>0</v>
      </c>
      <c r="C41" s="995"/>
      <c r="D41" s="991"/>
      <c r="E41" s="998"/>
      <c r="F41" s="491"/>
      <c r="G41" s="473"/>
      <c r="H41" s="588" t="s">
        <v>1683</v>
      </c>
      <c r="I41" s="591">
        <f>SUMIFS('4. 특출'!R:R,'4. 특출'!H:H,"701-01")</f>
        <v>0</v>
      </c>
      <c r="J41" s="995"/>
      <c r="K41" s="993"/>
      <c r="L41" s="998"/>
      <c r="M41" s="592"/>
    </row>
    <row r="42" spans="1:13" ht="24.95" customHeight="1">
      <c r="A42" s="588" t="s">
        <v>1684</v>
      </c>
      <c r="B42" s="589">
        <f>SUMIFS('5. 기출'!P:P,'5. 기출'!H:H,"701-01")</f>
        <v>0</v>
      </c>
      <c r="C42" s="996"/>
      <c r="D42" s="589">
        <f>SUMIFS('4. 특입'!N:N,'4. 특입'!H:H,"721-04")+SUMIFS('3. 일입'!N:N,'3. 일입'!H:H,"721-04")</f>
        <v>0</v>
      </c>
      <c r="E42" s="596" t="s">
        <v>1685</v>
      </c>
      <c r="F42" s="491"/>
      <c r="G42" s="473"/>
      <c r="H42" s="588" t="s">
        <v>1684</v>
      </c>
      <c r="I42" s="591">
        <f>SUMIFS('5. 기출'!R:R,'5. 기출'!H:H,"701-01")</f>
        <v>0</v>
      </c>
      <c r="J42" s="996"/>
      <c r="K42" s="591">
        <f>SUMIFS('4. 특입'!P:P,'4. 특입'!H:H,"721-04")+SUMIFS('3. 일입'!P:P,'3. 일입'!H:H,"721-04")</f>
        <v>0</v>
      </c>
      <c r="L42" s="596" t="s">
        <v>1685</v>
      </c>
      <c r="M42" s="592"/>
    </row>
    <row r="43" spans="1:13" ht="24.95" customHeight="1">
      <c r="A43" s="593" t="s">
        <v>1686</v>
      </c>
      <c r="B43" s="594">
        <f>SUM(B44:B46)</f>
        <v>0</v>
      </c>
      <c r="C43" s="597"/>
      <c r="D43" s="594">
        <f>D44+D46</f>
        <v>0</v>
      </c>
      <c r="E43" s="595" t="str">
        <f>IF(D43=B43,"OK","@@")</f>
        <v>OK</v>
      </c>
      <c r="F43" s="594">
        <f>D43-B43</f>
        <v>0</v>
      </c>
      <c r="G43" s="473"/>
      <c r="H43" s="593" t="s">
        <v>1686</v>
      </c>
      <c r="I43" s="594">
        <f>SUM(I44:I46)</f>
        <v>0</v>
      </c>
      <c r="J43" s="597"/>
      <c r="K43" s="594">
        <f>K44+K46</f>
        <v>0</v>
      </c>
      <c r="L43" s="595" t="str">
        <f>IF(K43=I43,"OK","@@")</f>
        <v>OK</v>
      </c>
      <c r="M43" s="594">
        <f>K43-I43</f>
        <v>0</v>
      </c>
    </row>
    <row r="44" spans="1:13" ht="24.95" customHeight="1">
      <c r="A44" s="588" t="s">
        <v>1687</v>
      </c>
      <c r="B44" s="589">
        <f>SUMIFS('3. 일출(자체)'!P:P,'3. 일출(자체)'!H:H,"702-01")</f>
        <v>0</v>
      </c>
      <c r="C44" s="994" t="s">
        <v>1688</v>
      </c>
      <c r="D44" s="990">
        <f>SUMIFS('5. 기입'!N:N,'5. 기입'!H:H,"721-03")</f>
        <v>0</v>
      </c>
      <c r="E44" s="997" t="s">
        <v>1682</v>
      </c>
      <c r="F44" s="491"/>
      <c r="G44" s="473"/>
      <c r="H44" s="588" t="s">
        <v>1687</v>
      </c>
      <c r="I44" s="591">
        <f>SUMIFS('3. 일출(자체)'!R:R,'3. 일출(자체)'!H:H,"702-01")</f>
        <v>0</v>
      </c>
      <c r="J44" s="994" t="s">
        <v>1688</v>
      </c>
      <c r="K44" s="992">
        <f>SUMIFS('5. 기입'!P:P,'5. 기입'!H:H,"721-03")</f>
        <v>0</v>
      </c>
      <c r="L44" s="997" t="s">
        <v>1682</v>
      </c>
      <c r="M44" s="592"/>
    </row>
    <row r="45" spans="1:13" ht="24.95" customHeight="1">
      <c r="A45" s="588" t="s">
        <v>1689</v>
      </c>
      <c r="B45" s="589">
        <f>SUMIFS('4. 특출'!P:P,'4. 특출'!H:H,"702-01")</f>
        <v>0</v>
      </c>
      <c r="C45" s="995"/>
      <c r="D45" s="991"/>
      <c r="E45" s="998"/>
      <c r="F45" s="491"/>
      <c r="G45" s="473"/>
      <c r="H45" s="588" t="s">
        <v>1689</v>
      </c>
      <c r="I45" s="591">
        <f>SUMIFS('4. 특출'!R:R,'4. 특출'!H:H,"702-01")</f>
        <v>0</v>
      </c>
      <c r="J45" s="995"/>
      <c r="K45" s="993"/>
      <c r="L45" s="998"/>
      <c r="M45" s="592"/>
    </row>
    <row r="46" spans="1:13" ht="24.95" customHeight="1">
      <c r="A46" s="588" t="s">
        <v>1690</v>
      </c>
      <c r="B46" s="589">
        <f>SUMIFS('5. 기출'!P:P,'5. 기출'!H:H,"702-01")</f>
        <v>0</v>
      </c>
      <c r="C46" s="996"/>
      <c r="D46" s="589">
        <f>SUMIFS('5. 기입'!N:N,'5. 기입'!H:H,"721-04")</f>
        <v>0</v>
      </c>
      <c r="E46" s="596" t="s">
        <v>1685</v>
      </c>
      <c r="F46" s="491"/>
      <c r="G46" s="473"/>
      <c r="H46" s="588" t="s">
        <v>1690</v>
      </c>
      <c r="I46" s="591">
        <f>SUMIFS('5. 기출'!R:R,'5. 기출'!H:H,"702-01")</f>
        <v>0</v>
      </c>
      <c r="J46" s="996"/>
      <c r="K46" s="591">
        <f>SUMIFS('5. 기입'!P:P,'5. 기입'!H:H,"721-04")</f>
        <v>0</v>
      </c>
      <c r="L46" s="596" t="s">
        <v>1685</v>
      </c>
      <c r="M46" s="592"/>
    </row>
  </sheetData>
  <mergeCells count="25"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  <mergeCell ref="A35:F35"/>
    <mergeCell ref="A36:A37"/>
    <mergeCell ref="H36:H37"/>
    <mergeCell ref="C40:C42"/>
    <mergeCell ref="D40:D41"/>
    <mergeCell ref="E40:E41"/>
    <mergeCell ref="A28:F28"/>
    <mergeCell ref="A29:A30"/>
    <mergeCell ref="H29:H30"/>
    <mergeCell ref="D32:D33"/>
    <mergeCell ref="K32:K33"/>
    <mergeCell ref="A3:A4"/>
    <mergeCell ref="H3:H4"/>
    <mergeCell ref="A18:A19"/>
    <mergeCell ref="H18:H19"/>
    <mergeCell ref="A17:F17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F20" sqref="AF20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147</v>
      </c>
      <c r="O1" t="s">
        <v>146</v>
      </c>
      <c r="R1" t="s">
        <v>1643</v>
      </c>
      <c r="AD1" t="s">
        <v>1644</v>
      </c>
    </row>
    <row r="2" spans="1:40" ht="20.100000000000001" customHeight="1" thickBot="1">
      <c r="A2" s="245" t="s">
        <v>1</v>
      </c>
      <c r="B2" s="246" t="s">
        <v>2</v>
      </c>
      <c r="C2" s="247" t="s">
        <v>0</v>
      </c>
      <c r="D2" s="19"/>
      <c r="E2" s="245" t="s">
        <v>847</v>
      </c>
      <c r="F2" s="246" t="s">
        <v>848</v>
      </c>
      <c r="G2" s="246" t="s">
        <v>871</v>
      </c>
      <c r="H2" s="246" t="s">
        <v>3</v>
      </c>
      <c r="I2" s="247" t="s">
        <v>1005</v>
      </c>
      <c r="K2" s="210" t="s">
        <v>502</v>
      </c>
      <c r="L2" s="211" t="s">
        <v>269</v>
      </c>
      <c r="M2" s="212" t="s">
        <v>872</v>
      </c>
      <c r="O2" s="204" t="s">
        <v>505</v>
      </c>
      <c r="P2" s="205" t="s">
        <v>503</v>
      </c>
      <c r="R2" s="563" t="s">
        <v>137</v>
      </c>
      <c r="S2" s="564" t="s">
        <v>238</v>
      </c>
      <c r="T2" s="564" t="s">
        <v>239</v>
      </c>
      <c r="U2" s="564" t="s">
        <v>240</v>
      </c>
      <c r="V2" s="564" t="s">
        <v>138</v>
      </c>
      <c r="W2" s="564" t="s">
        <v>139</v>
      </c>
      <c r="X2" s="564" t="s">
        <v>140</v>
      </c>
      <c r="Y2" s="564" t="s">
        <v>241</v>
      </c>
      <c r="Z2" s="564" t="s">
        <v>166</v>
      </c>
      <c r="AA2" s="564" t="s">
        <v>1040</v>
      </c>
      <c r="AB2" s="565" t="s">
        <v>242</v>
      </c>
      <c r="AD2" s="563" t="s">
        <v>137</v>
      </c>
      <c r="AE2" s="564" t="s">
        <v>238</v>
      </c>
      <c r="AF2" s="564" t="s">
        <v>239</v>
      </c>
      <c r="AG2" s="564" t="s">
        <v>240</v>
      </c>
      <c r="AH2" s="564" t="s">
        <v>138</v>
      </c>
      <c r="AI2" s="564" t="s">
        <v>139</v>
      </c>
      <c r="AJ2" s="564" t="s">
        <v>140</v>
      </c>
      <c r="AK2" s="564" t="s">
        <v>241</v>
      </c>
      <c r="AL2" s="564" t="s">
        <v>166</v>
      </c>
      <c r="AM2" s="564" t="s">
        <v>1040</v>
      </c>
      <c r="AN2" s="565" t="s">
        <v>242</v>
      </c>
    </row>
    <row r="3" spans="1:40" ht="20.100000000000001" customHeight="1">
      <c r="A3" s="213" t="s">
        <v>6</v>
      </c>
      <c r="B3" s="278" t="s">
        <v>4</v>
      </c>
      <c r="C3" s="254" t="s">
        <v>7</v>
      </c>
      <c r="D3" s="405"/>
      <c r="E3" s="515" t="s">
        <v>7</v>
      </c>
      <c r="F3" s="516" t="s">
        <v>6</v>
      </c>
      <c r="G3" s="517" t="s">
        <v>4</v>
      </c>
      <c r="H3" s="518" t="s">
        <v>1154</v>
      </c>
      <c r="I3" s="519" t="s">
        <v>1155</v>
      </c>
      <c r="K3" s="214" t="s">
        <v>873</v>
      </c>
      <c r="L3" s="215" t="s">
        <v>506</v>
      </c>
      <c r="M3" s="216" t="s">
        <v>301</v>
      </c>
      <c r="O3" s="206"/>
      <c r="P3" s="173" t="s">
        <v>550</v>
      </c>
      <c r="R3" s="566" t="s">
        <v>6</v>
      </c>
      <c r="S3" s="567" t="s">
        <v>1055</v>
      </c>
      <c r="T3" s="567" t="s">
        <v>192</v>
      </c>
      <c r="U3" s="567" t="s">
        <v>231</v>
      </c>
      <c r="V3" s="567" t="s">
        <v>1011</v>
      </c>
      <c r="W3" s="567" t="s">
        <v>70</v>
      </c>
      <c r="X3" s="567" t="s">
        <v>177</v>
      </c>
      <c r="Y3" s="567" t="s">
        <v>1020</v>
      </c>
      <c r="Z3" s="567" t="s">
        <v>103</v>
      </c>
      <c r="AA3" s="567" t="s">
        <v>1138</v>
      </c>
      <c r="AB3" s="568" t="s">
        <v>201</v>
      </c>
      <c r="AD3" s="566" t="s">
        <v>7</v>
      </c>
      <c r="AE3" s="567" t="s">
        <v>1062</v>
      </c>
      <c r="AF3" s="567" t="s">
        <v>223</v>
      </c>
      <c r="AG3" s="567" t="s">
        <v>231</v>
      </c>
      <c r="AH3" s="567" t="s">
        <v>68</v>
      </c>
      <c r="AI3" s="567" t="s">
        <v>956</v>
      </c>
      <c r="AJ3" s="567" t="s">
        <v>214</v>
      </c>
      <c r="AK3" s="567" t="s">
        <v>96</v>
      </c>
      <c r="AL3" s="567" t="s">
        <v>105</v>
      </c>
      <c r="AM3" s="567" t="s">
        <v>1024</v>
      </c>
      <c r="AN3" s="568" t="s">
        <v>1013</v>
      </c>
    </row>
    <row r="4" spans="1:40" ht="20.100000000000001" customHeight="1" thickBot="1">
      <c r="A4" s="252" t="s">
        <v>8</v>
      </c>
      <c r="B4" s="279" t="s">
        <v>4</v>
      </c>
      <c r="C4" s="253" t="s">
        <v>7</v>
      </c>
      <c r="D4" s="19"/>
      <c r="E4" s="520" t="s">
        <v>7</v>
      </c>
      <c r="F4" s="521" t="s">
        <v>8</v>
      </c>
      <c r="G4" s="522" t="s">
        <v>4</v>
      </c>
      <c r="H4" s="523" t="s">
        <v>1156</v>
      </c>
      <c r="I4" s="524" t="s">
        <v>1157</v>
      </c>
      <c r="K4" s="217" t="s">
        <v>302</v>
      </c>
      <c r="L4" s="218" t="s">
        <v>507</v>
      </c>
      <c r="M4" s="219" t="s">
        <v>874</v>
      </c>
      <c r="O4" s="206"/>
      <c r="P4" s="174" t="s">
        <v>551</v>
      </c>
      <c r="R4" s="569" t="s">
        <v>8</v>
      </c>
      <c r="S4" s="570" t="s">
        <v>1056</v>
      </c>
      <c r="T4" s="570" t="s">
        <v>224</v>
      </c>
      <c r="U4" s="570" t="s">
        <v>29</v>
      </c>
      <c r="V4" s="570" t="s">
        <v>1012</v>
      </c>
      <c r="W4" s="570" t="s">
        <v>72</v>
      </c>
      <c r="X4" s="570" t="s">
        <v>215</v>
      </c>
      <c r="Y4" s="570" t="s">
        <v>858</v>
      </c>
      <c r="Z4" s="570" t="s">
        <v>849</v>
      </c>
      <c r="AA4" s="570" t="s">
        <v>1025</v>
      </c>
      <c r="AB4" s="571" t="s">
        <v>952</v>
      </c>
      <c r="AD4" s="569" t="s">
        <v>194</v>
      </c>
      <c r="AE4" s="570" t="s">
        <v>11</v>
      </c>
      <c r="AF4" s="570" t="s">
        <v>1022</v>
      </c>
      <c r="AG4" s="570" t="s">
        <v>195</v>
      </c>
      <c r="AH4" s="570"/>
      <c r="AI4" s="570" t="s">
        <v>957</v>
      </c>
      <c r="AJ4" s="570" t="s">
        <v>216</v>
      </c>
      <c r="AK4" s="570" t="s">
        <v>94</v>
      </c>
      <c r="AL4" s="570" t="s">
        <v>1135</v>
      </c>
      <c r="AM4" s="570" t="s">
        <v>1026</v>
      </c>
      <c r="AN4" s="571" t="s">
        <v>1137</v>
      </c>
    </row>
    <row r="5" spans="1:40" ht="20.100000000000001" customHeight="1">
      <c r="A5" s="161" t="s">
        <v>925</v>
      </c>
      <c r="B5" s="280" t="s">
        <v>4</v>
      </c>
      <c r="C5" s="255" t="s">
        <v>194</v>
      </c>
      <c r="D5" s="19"/>
      <c r="E5" s="515" t="s">
        <v>194</v>
      </c>
      <c r="F5" s="516" t="s">
        <v>925</v>
      </c>
      <c r="G5" s="517" t="s">
        <v>4</v>
      </c>
      <c r="H5" s="518" t="s">
        <v>1158</v>
      </c>
      <c r="I5" s="519" t="s">
        <v>1159</v>
      </c>
      <c r="K5" s="217" t="s">
        <v>303</v>
      </c>
      <c r="L5" s="218" t="s">
        <v>506</v>
      </c>
      <c r="M5" s="219" t="s">
        <v>875</v>
      </c>
      <c r="O5" s="206"/>
      <c r="P5" s="175" t="s">
        <v>552</v>
      </c>
      <c r="R5" s="569" t="s">
        <v>925</v>
      </c>
      <c r="S5" s="570" t="s">
        <v>1057</v>
      </c>
      <c r="T5" s="570" t="s">
        <v>936</v>
      </c>
      <c r="U5" s="570" t="s">
        <v>186</v>
      </c>
      <c r="V5" s="570" t="s">
        <v>930</v>
      </c>
      <c r="W5" s="570" t="s">
        <v>73</v>
      </c>
      <c r="X5" s="570" t="s">
        <v>87</v>
      </c>
      <c r="Y5" s="570" t="s">
        <v>97</v>
      </c>
      <c r="Z5" s="570" t="s">
        <v>850</v>
      </c>
      <c r="AA5" s="570" t="s">
        <v>1139</v>
      </c>
      <c r="AB5" s="571" t="s">
        <v>220</v>
      </c>
      <c r="AD5" s="569" t="s">
        <v>940</v>
      </c>
      <c r="AE5" s="570" t="s">
        <v>16</v>
      </c>
      <c r="AF5" s="570" t="s">
        <v>1035</v>
      </c>
      <c r="AG5" s="570" t="s">
        <v>23</v>
      </c>
      <c r="AH5" s="570"/>
      <c r="AI5" s="570" t="s">
        <v>958</v>
      </c>
      <c r="AJ5" s="570" t="s">
        <v>1151</v>
      </c>
      <c r="AK5" s="570" t="s">
        <v>228</v>
      </c>
      <c r="AL5" s="570" t="s">
        <v>958</v>
      </c>
      <c r="AM5" s="570" t="s">
        <v>959</v>
      </c>
      <c r="AN5" s="571" t="s">
        <v>107</v>
      </c>
    </row>
    <row r="6" spans="1:40" ht="20.100000000000001" customHeight="1" thickBot="1">
      <c r="A6" s="162" t="s">
        <v>926</v>
      </c>
      <c r="B6" s="281" t="s">
        <v>4</v>
      </c>
      <c r="C6" s="256" t="s">
        <v>194</v>
      </c>
      <c r="D6" s="19"/>
      <c r="E6" s="520" t="s">
        <v>194</v>
      </c>
      <c r="F6" s="521" t="s">
        <v>926</v>
      </c>
      <c r="G6" s="522" t="s">
        <v>4</v>
      </c>
      <c r="H6" s="523" t="s">
        <v>1160</v>
      </c>
      <c r="I6" s="524" t="s">
        <v>1161</v>
      </c>
      <c r="K6" s="220" t="s">
        <v>304</v>
      </c>
      <c r="L6" s="221" t="s">
        <v>507</v>
      </c>
      <c r="M6" s="222" t="s">
        <v>876</v>
      </c>
      <c r="O6" s="206" t="s">
        <v>548</v>
      </c>
      <c r="P6" s="176" t="s">
        <v>549</v>
      </c>
      <c r="R6" s="569" t="s">
        <v>926</v>
      </c>
      <c r="S6" s="570" t="s">
        <v>1058</v>
      </c>
      <c r="T6" s="570" t="s">
        <v>222</v>
      </c>
      <c r="U6" s="570" t="s">
        <v>187</v>
      </c>
      <c r="V6" s="570" t="s">
        <v>217</v>
      </c>
      <c r="W6" s="570" t="s">
        <v>218</v>
      </c>
      <c r="X6" s="570" t="s">
        <v>88</v>
      </c>
      <c r="Y6" s="570" t="s">
        <v>204</v>
      </c>
      <c r="Z6" s="570" t="s">
        <v>853</v>
      </c>
      <c r="AA6" s="570" t="s">
        <v>1140</v>
      </c>
      <c r="AB6" s="571" t="s">
        <v>1137</v>
      </c>
      <c r="AD6" s="569" t="s">
        <v>5</v>
      </c>
      <c r="AE6" s="570" t="s">
        <v>196</v>
      </c>
      <c r="AF6" s="570" t="s">
        <v>272</v>
      </c>
      <c r="AG6" s="570" t="s">
        <v>934</v>
      </c>
      <c r="AH6" s="570"/>
      <c r="AI6" s="570" t="s">
        <v>1149</v>
      </c>
      <c r="AJ6" s="570"/>
      <c r="AK6" s="570" t="s">
        <v>1153</v>
      </c>
      <c r="AL6" s="570" t="s">
        <v>1151</v>
      </c>
      <c r="AM6" s="570"/>
      <c r="AN6" s="571" t="s">
        <v>1017</v>
      </c>
    </row>
    <row r="7" spans="1:40" ht="20.100000000000001" customHeight="1" thickBot="1">
      <c r="A7" s="259" t="s">
        <v>231</v>
      </c>
      <c r="B7" s="282" t="s">
        <v>22</v>
      </c>
      <c r="C7" s="260" t="s">
        <v>231</v>
      </c>
      <c r="D7" s="19"/>
      <c r="E7" s="525" t="s">
        <v>231</v>
      </c>
      <c r="F7" s="526" t="s">
        <v>231</v>
      </c>
      <c r="G7" s="527" t="s">
        <v>22</v>
      </c>
      <c r="H7" s="528" t="s">
        <v>1162</v>
      </c>
      <c r="I7" s="529" t="s">
        <v>1163</v>
      </c>
      <c r="K7" s="214" t="s">
        <v>305</v>
      </c>
      <c r="L7" s="215" t="s">
        <v>508</v>
      </c>
      <c r="M7" s="216" t="s">
        <v>306</v>
      </c>
      <c r="O7" s="206" t="s">
        <v>603</v>
      </c>
      <c r="P7" s="176" t="s">
        <v>679</v>
      </c>
      <c r="R7" s="569" t="s">
        <v>940</v>
      </c>
      <c r="S7" s="570" t="s">
        <v>10</v>
      </c>
      <c r="T7" s="570" t="s">
        <v>856</v>
      </c>
      <c r="U7" s="570" t="s">
        <v>198</v>
      </c>
      <c r="V7" s="570" t="s">
        <v>931</v>
      </c>
      <c r="W7" s="570" t="s">
        <v>202</v>
      </c>
      <c r="X7" s="570" t="s">
        <v>263</v>
      </c>
      <c r="Y7" s="570" t="s">
        <v>98</v>
      </c>
      <c r="Z7" s="570" t="s">
        <v>854</v>
      </c>
      <c r="AA7" s="570" t="s">
        <v>1029</v>
      </c>
      <c r="AB7" s="571" t="s">
        <v>182</v>
      </c>
      <c r="AD7" s="569"/>
      <c r="AE7" s="570" t="s">
        <v>1061</v>
      </c>
      <c r="AF7" s="570"/>
      <c r="AG7" s="570" t="s">
        <v>197</v>
      </c>
      <c r="AH7" s="570"/>
      <c r="AI7" s="570"/>
      <c r="AJ7" s="570"/>
      <c r="AK7" s="570" t="s">
        <v>939</v>
      </c>
      <c r="AL7" s="570" t="s">
        <v>1152</v>
      </c>
      <c r="AM7" s="570"/>
      <c r="AN7" s="571"/>
    </row>
    <row r="8" spans="1:40" ht="20.100000000000001" customHeight="1">
      <c r="A8" s="161" t="s">
        <v>1055</v>
      </c>
      <c r="B8" s="280" t="s">
        <v>9</v>
      </c>
      <c r="C8" s="255" t="s">
        <v>1062</v>
      </c>
      <c r="D8" s="19"/>
      <c r="E8" s="515" t="s">
        <v>1062</v>
      </c>
      <c r="F8" s="516" t="s">
        <v>1055</v>
      </c>
      <c r="G8" s="517" t="s">
        <v>9</v>
      </c>
      <c r="H8" s="518" t="s">
        <v>1164</v>
      </c>
      <c r="I8" s="519" t="s">
        <v>1165</v>
      </c>
      <c r="K8" s="217" t="s">
        <v>307</v>
      </c>
      <c r="L8" s="218" t="s">
        <v>508</v>
      </c>
      <c r="M8" s="219" t="s">
        <v>308</v>
      </c>
      <c r="O8" s="206" t="s">
        <v>604</v>
      </c>
      <c r="P8" s="176" t="s">
        <v>803</v>
      </c>
      <c r="R8" s="569" t="s">
        <v>232</v>
      </c>
      <c r="S8" s="570" t="s">
        <v>927</v>
      </c>
      <c r="T8" s="570" t="s">
        <v>262</v>
      </c>
      <c r="U8" s="570" t="s">
        <v>928</v>
      </c>
      <c r="V8" s="570" t="s">
        <v>69</v>
      </c>
      <c r="W8" s="570" t="s">
        <v>74</v>
      </c>
      <c r="X8" s="570" t="s">
        <v>1009</v>
      </c>
      <c r="Y8" s="570" t="s">
        <v>225</v>
      </c>
      <c r="Z8" s="570" t="s">
        <v>1130</v>
      </c>
      <c r="AA8" s="570" t="s">
        <v>1027</v>
      </c>
      <c r="AB8" s="571" t="s">
        <v>1014</v>
      </c>
      <c r="AD8" s="569"/>
      <c r="AE8" s="570"/>
      <c r="AF8" s="570"/>
      <c r="AG8" s="570" t="s">
        <v>1150</v>
      </c>
      <c r="AH8" s="570"/>
      <c r="AI8" s="570"/>
      <c r="AJ8" s="570"/>
      <c r="AK8" s="570"/>
      <c r="AL8" s="570"/>
      <c r="AM8" s="570"/>
      <c r="AN8" s="571"/>
    </row>
    <row r="9" spans="1:40" ht="20.100000000000001" customHeight="1">
      <c r="A9" s="163" t="s">
        <v>1056</v>
      </c>
      <c r="B9" s="283" t="s">
        <v>9</v>
      </c>
      <c r="C9" s="248" t="s">
        <v>1062</v>
      </c>
      <c r="D9" s="19"/>
      <c r="E9" s="530" t="s">
        <v>1062</v>
      </c>
      <c r="F9" s="531" t="s">
        <v>1056</v>
      </c>
      <c r="G9" s="532" t="s">
        <v>9</v>
      </c>
      <c r="H9" s="533" t="s">
        <v>1166</v>
      </c>
      <c r="I9" s="534" t="s">
        <v>1167</v>
      </c>
      <c r="K9" s="217" t="s">
        <v>309</v>
      </c>
      <c r="L9" s="218" t="s">
        <v>508</v>
      </c>
      <c r="M9" s="219" t="s">
        <v>310</v>
      </c>
      <c r="O9" s="206" t="s">
        <v>605</v>
      </c>
      <c r="P9" s="176" t="s">
        <v>680</v>
      </c>
      <c r="R9" s="569" t="s">
        <v>21</v>
      </c>
      <c r="S9" s="570" t="s">
        <v>12</v>
      </c>
      <c r="T9" s="570" t="s">
        <v>1023</v>
      </c>
      <c r="U9" s="570" t="s">
        <v>1006</v>
      </c>
      <c r="V9" s="570" t="s">
        <v>932</v>
      </c>
      <c r="W9" s="570" t="s">
        <v>75</v>
      </c>
      <c r="X9" s="570" t="s">
        <v>1007</v>
      </c>
      <c r="Y9" s="570" t="s">
        <v>95</v>
      </c>
      <c r="Z9" s="570" t="s">
        <v>855</v>
      </c>
      <c r="AA9" s="570" t="s">
        <v>1028</v>
      </c>
      <c r="AB9" s="571" t="s">
        <v>108</v>
      </c>
      <c r="AD9" s="569"/>
      <c r="AE9" s="570"/>
      <c r="AF9" s="570"/>
      <c r="AG9" s="570" t="s">
        <v>865</v>
      </c>
      <c r="AH9" s="570"/>
      <c r="AI9" s="570"/>
      <c r="AJ9" s="570"/>
      <c r="AK9" s="570"/>
      <c r="AL9" s="570"/>
      <c r="AM9" s="570"/>
      <c r="AN9" s="571"/>
    </row>
    <row r="10" spans="1:40" ht="20.100000000000001" customHeight="1">
      <c r="A10" s="163" t="s">
        <v>1057</v>
      </c>
      <c r="B10" s="283" t="s">
        <v>9</v>
      </c>
      <c r="C10" s="248" t="s">
        <v>1062</v>
      </c>
      <c r="D10" s="19"/>
      <c r="E10" s="530" t="s">
        <v>1062</v>
      </c>
      <c r="F10" s="531" t="s">
        <v>1057</v>
      </c>
      <c r="G10" s="532" t="s">
        <v>9</v>
      </c>
      <c r="H10" s="533" t="s">
        <v>1168</v>
      </c>
      <c r="I10" s="534" t="s">
        <v>1169</v>
      </c>
      <c r="K10" s="217" t="s">
        <v>311</v>
      </c>
      <c r="L10" s="218" t="s">
        <v>508</v>
      </c>
      <c r="M10" s="219" t="s">
        <v>985</v>
      </c>
      <c r="O10" s="206" t="s">
        <v>804</v>
      </c>
      <c r="P10" s="176" t="s">
        <v>805</v>
      </c>
      <c r="R10" s="569" t="s">
        <v>25</v>
      </c>
      <c r="S10" s="570" t="s">
        <v>211</v>
      </c>
      <c r="T10" s="570" t="s">
        <v>941</v>
      </c>
      <c r="U10" s="570" t="s">
        <v>21</v>
      </c>
      <c r="V10" s="570" t="s">
        <v>171</v>
      </c>
      <c r="W10" s="570" t="s">
        <v>76</v>
      </c>
      <c r="X10" s="570" t="s">
        <v>1008</v>
      </c>
      <c r="Y10" s="570" t="s">
        <v>1021</v>
      </c>
      <c r="Z10" s="570" t="s">
        <v>802</v>
      </c>
      <c r="AA10" s="570" t="s">
        <v>947</v>
      </c>
      <c r="AB10" s="571" t="s">
        <v>221</v>
      </c>
      <c r="AD10" s="569"/>
      <c r="AE10" s="570"/>
      <c r="AF10" s="570"/>
      <c r="AG10" s="570" t="s">
        <v>868</v>
      </c>
      <c r="AH10" s="570"/>
      <c r="AI10" s="570"/>
      <c r="AJ10" s="570"/>
      <c r="AK10" s="570"/>
      <c r="AL10" s="570"/>
      <c r="AM10" s="570"/>
      <c r="AN10" s="571"/>
    </row>
    <row r="11" spans="1:40" ht="20.100000000000001" customHeight="1" thickBot="1">
      <c r="A11" s="162" t="s">
        <v>1058</v>
      </c>
      <c r="B11" s="281" t="s">
        <v>9</v>
      </c>
      <c r="C11" s="256" t="s">
        <v>1062</v>
      </c>
      <c r="D11" s="19"/>
      <c r="E11" s="520" t="s">
        <v>1062</v>
      </c>
      <c r="F11" s="521" t="s">
        <v>1058</v>
      </c>
      <c r="G11" s="522" t="s">
        <v>9</v>
      </c>
      <c r="H11" s="523" t="s">
        <v>1170</v>
      </c>
      <c r="I11" s="524" t="s">
        <v>1171</v>
      </c>
      <c r="K11" s="220" t="s">
        <v>312</v>
      </c>
      <c r="L11" s="221" t="s">
        <v>508</v>
      </c>
      <c r="M11" s="222" t="s">
        <v>984</v>
      </c>
      <c r="O11" s="206" t="s">
        <v>606</v>
      </c>
      <c r="P11" s="176" t="s">
        <v>681</v>
      </c>
      <c r="R11" s="569" t="s">
        <v>1143</v>
      </c>
      <c r="S11" s="570" t="s">
        <v>212</v>
      </c>
      <c r="T11" s="570" t="s">
        <v>857</v>
      </c>
      <c r="U11" s="570" t="s">
        <v>24</v>
      </c>
      <c r="V11" s="570" t="s">
        <v>1136</v>
      </c>
      <c r="W11" s="570" t="s">
        <v>77</v>
      </c>
      <c r="X11" s="570" t="s">
        <v>89</v>
      </c>
      <c r="Y11" s="570" t="s">
        <v>226</v>
      </c>
      <c r="Z11" s="570" t="s">
        <v>929</v>
      </c>
      <c r="AA11" s="570" t="s">
        <v>948</v>
      </c>
      <c r="AB11" s="571" t="s">
        <v>933</v>
      </c>
      <c r="AD11" s="569"/>
      <c r="AE11" s="570"/>
      <c r="AF11" s="570"/>
      <c r="AG11" s="570"/>
      <c r="AH11" s="570"/>
      <c r="AI11" s="570"/>
      <c r="AJ11" s="570"/>
      <c r="AK11" s="570"/>
      <c r="AL11" s="570"/>
      <c r="AM11" s="570"/>
      <c r="AN11" s="571"/>
    </row>
    <row r="12" spans="1:40" ht="20.100000000000001" customHeight="1">
      <c r="A12" s="161" t="s">
        <v>10</v>
      </c>
      <c r="B12" s="280" t="s">
        <v>9</v>
      </c>
      <c r="C12" s="255" t="s">
        <v>11</v>
      </c>
      <c r="D12" s="19"/>
      <c r="E12" s="530" t="s">
        <v>11</v>
      </c>
      <c r="F12" s="531" t="s">
        <v>10</v>
      </c>
      <c r="G12" s="532" t="s">
        <v>9</v>
      </c>
      <c r="H12" s="533" t="s">
        <v>1172</v>
      </c>
      <c r="I12" s="534" t="s">
        <v>1173</v>
      </c>
      <c r="K12" s="214" t="s">
        <v>877</v>
      </c>
      <c r="L12" s="215" t="s">
        <v>509</v>
      </c>
      <c r="M12" s="216" t="s">
        <v>313</v>
      </c>
      <c r="O12" s="206" t="s">
        <v>607</v>
      </c>
      <c r="P12" s="176" t="s">
        <v>682</v>
      </c>
      <c r="R12" s="569" t="s">
        <v>1144</v>
      </c>
      <c r="S12" s="570" t="s">
        <v>13</v>
      </c>
      <c r="T12" s="570" t="s">
        <v>942</v>
      </c>
      <c r="U12" s="570" t="s">
        <v>25</v>
      </c>
      <c r="V12" s="570"/>
      <c r="W12" s="570" t="s">
        <v>937</v>
      </c>
      <c r="X12" s="570" t="s">
        <v>1010</v>
      </c>
      <c r="Y12" s="570" t="s">
        <v>193</v>
      </c>
      <c r="Z12" s="570" t="s">
        <v>851</v>
      </c>
      <c r="AA12" s="570" t="s">
        <v>949</v>
      </c>
      <c r="AB12" s="571" t="s">
        <v>109</v>
      </c>
      <c r="AD12" s="569"/>
      <c r="AE12" s="570"/>
      <c r="AF12" s="570"/>
      <c r="AG12" s="570"/>
      <c r="AH12" s="570"/>
      <c r="AI12" s="570"/>
      <c r="AJ12" s="570"/>
      <c r="AK12" s="570"/>
      <c r="AL12" s="570"/>
      <c r="AM12" s="570"/>
      <c r="AN12" s="571"/>
    </row>
    <row r="13" spans="1:40" ht="20.100000000000001" customHeight="1">
      <c r="A13" s="163" t="s">
        <v>927</v>
      </c>
      <c r="B13" s="283" t="s">
        <v>9</v>
      </c>
      <c r="C13" s="248" t="s">
        <v>11</v>
      </c>
      <c r="D13" s="19"/>
      <c r="E13" s="540" t="s">
        <v>11</v>
      </c>
      <c r="F13" s="541" t="s">
        <v>927</v>
      </c>
      <c r="G13" s="542" t="s">
        <v>9</v>
      </c>
      <c r="H13" s="560" t="s">
        <v>1174</v>
      </c>
      <c r="I13" s="561" t="s">
        <v>1175</v>
      </c>
      <c r="K13" s="217" t="s">
        <v>314</v>
      </c>
      <c r="L13" s="218" t="s">
        <v>509</v>
      </c>
      <c r="M13" s="219" t="s">
        <v>315</v>
      </c>
      <c r="O13" s="206" t="s">
        <v>608</v>
      </c>
      <c r="P13" s="176" t="s">
        <v>806</v>
      </c>
      <c r="R13" s="569" t="s">
        <v>1145</v>
      </c>
      <c r="S13" s="570" t="s">
        <v>14</v>
      </c>
      <c r="T13" s="570" t="s">
        <v>1034</v>
      </c>
      <c r="U13" s="570" t="s">
        <v>199</v>
      </c>
      <c r="V13" s="570"/>
      <c r="W13" s="570" t="s">
        <v>938</v>
      </c>
      <c r="X13" s="570" t="s">
        <v>264</v>
      </c>
      <c r="Y13" s="570" t="s">
        <v>227</v>
      </c>
      <c r="Z13" s="570" t="s">
        <v>852</v>
      </c>
      <c r="AA13" s="570" t="s">
        <v>950</v>
      </c>
      <c r="AB13" s="571" t="s">
        <v>1018</v>
      </c>
      <c r="AD13" s="569"/>
      <c r="AE13" s="570"/>
      <c r="AF13" s="570"/>
      <c r="AG13" s="570"/>
      <c r="AH13" s="570"/>
      <c r="AI13" s="570"/>
      <c r="AJ13" s="570"/>
      <c r="AK13" s="570"/>
      <c r="AL13" s="570"/>
      <c r="AM13" s="570"/>
      <c r="AN13" s="571"/>
    </row>
    <row r="14" spans="1:40" ht="20.100000000000001" customHeight="1">
      <c r="A14" s="163" t="s">
        <v>12</v>
      </c>
      <c r="B14" s="283" t="s">
        <v>9</v>
      </c>
      <c r="C14" s="248" t="s">
        <v>11</v>
      </c>
      <c r="D14" s="19"/>
      <c r="E14" s="530" t="s">
        <v>11</v>
      </c>
      <c r="F14" s="531" t="s">
        <v>12</v>
      </c>
      <c r="G14" s="532" t="s">
        <v>9</v>
      </c>
      <c r="H14" s="533" t="s">
        <v>1176</v>
      </c>
      <c r="I14" s="534" t="s">
        <v>1177</v>
      </c>
      <c r="K14" s="217" t="s">
        <v>316</v>
      </c>
      <c r="L14" s="218" t="s">
        <v>509</v>
      </c>
      <c r="M14" s="219" t="s">
        <v>317</v>
      </c>
      <c r="O14" s="206" t="s">
        <v>609</v>
      </c>
      <c r="P14" s="176" t="s">
        <v>807</v>
      </c>
      <c r="R14" s="569" t="s">
        <v>1146</v>
      </c>
      <c r="S14" s="570" t="s">
        <v>15</v>
      </c>
      <c r="T14" s="570" t="s">
        <v>953</v>
      </c>
      <c r="U14" s="570" t="s">
        <v>26</v>
      </c>
      <c r="V14" s="570"/>
      <c r="W14" s="570" t="s">
        <v>172</v>
      </c>
      <c r="X14" s="570" t="s">
        <v>90</v>
      </c>
      <c r="Y14" s="570" t="s">
        <v>93</v>
      </c>
      <c r="Z14" s="570" t="s">
        <v>1131</v>
      </c>
      <c r="AA14" s="570" t="s">
        <v>951</v>
      </c>
      <c r="AB14" s="571" t="s">
        <v>1019</v>
      </c>
      <c r="AD14" s="569"/>
      <c r="AE14" s="570"/>
      <c r="AF14" s="570"/>
      <c r="AG14" s="570"/>
      <c r="AH14" s="570"/>
      <c r="AI14" s="570"/>
      <c r="AJ14" s="570"/>
      <c r="AK14" s="570"/>
      <c r="AL14" s="570"/>
      <c r="AM14" s="570"/>
      <c r="AN14" s="571"/>
    </row>
    <row r="15" spans="1:40" ht="20.100000000000001" customHeight="1">
      <c r="A15" s="163" t="s">
        <v>211</v>
      </c>
      <c r="B15" s="283" t="s">
        <v>9</v>
      </c>
      <c r="C15" s="248" t="s">
        <v>11</v>
      </c>
      <c r="D15" s="19"/>
      <c r="E15" s="530" t="s">
        <v>11</v>
      </c>
      <c r="F15" s="531" t="s">
        <v>211</v>
      </c>
      <c r="G15" s="532" t="s">
        <v>9</v>
      </c>
      <c r="H15" s="533" t="s">
        <v>1178</v>
      </c>
      <c r="I15" s="534" t="s">
        <v>1179</v>
      </c>
      <c r="K15" s="217" t="s">
        <v>318</v>
      </c>
      <c r="L15" s="218" t="s">
        <v>509</v>
      </c>
      <c r="M15" s="219" t="s">
        <v>319</v>
      </c>
      <c r="O15" s="206"/>
      <c r="P15" s="175" t="s">
        <v>553</v>
      </c>
      <c r="R15" s="569" t="s">
        <v>1147</v>
      </c>
      <c r="S15" s="570" t="s">
        <v>17</v>
      </c>
      <c r="T15" s="570" t="s">
        <v>954</v>
      </c>
      <c r="U15" s="570" t="s">
        <v>200</v>
      </c>
      <c r="V15" s="570"/>
      <c r="W15" s="570" t="s">
        <v>173</v>
      </c>
      <c r="X15" s="570" t="s">
        <v>1059</v>
      </c>
      <c r="Y15" s="570" t="s">
        <v>229</v>
      </c>
      <c r="Z15" s="570" t="s">
        <v>943</v>
      </c>
      <c r="AA15" s="570"/>
      <c r="AB15" s="571"/>
      <c r="AD15" s="569"/>
      <c r="AE15" s="570"/>
      <c r="AF15" s="570"/>
      <c r="AG15" s="570"/>
      <c r="AH15" s="570"/>
      <c r="AI15" s="570"/>
      <c r="AJ15" s="570"/>
      <c r="AK15" s="570"/>
      <c r="AL15" s="570"/>
      <c r="AM15" s="570"/>
      <c r="AN15" s="571"/>
    </row>
    <row r="16" spans="1:40" ht="20.100000000000001" customHeight="1" thickBot="1">
      <c r="A16" s="163" t="s">
        <v>212</v>
      </c>
      <c r="B16" s="283" t="s">
        <v>9</v>
      </c>
      <c r="C16" s="248" t="s">
        <v>11</v>
      </c>
      <c r="D16" s="19"/>
      <c r="E16" s="530" t="s">
        <v>11</v>
      </c>
      <c r="F16" s="531" t="s">
        <v>212</v>
      </c>
      <c r="G16" s="532" t="s">
        <v>9</v>
      </c>
      <c r="H16" s="533" t="s">
        <v>1180</v>
      </c>
      <c r="I16" s="534" t="s">
        <v>1181</v>
      </c>
      <c r="K16" s="220" t="s">
        <v>320</v>
      </c>
      <c r="L16" s="221" t="s">
        <v>509</v>
      </c>
      <c r="M16" s="222" t="s">
        <v>321</v>
      </c>
      <c r="O16" s="206" t="s">
        <v>808</v>
      </c>
      <c r="P16" s="176" t="s">
        <v>683</v>
      </c>
      <c r="R16" s="569" t="s">
        <v>1148</v>
      </c>
      <c r="S16" s="570" t="s">
        <v>65</v>
      </c>
      <c r="T16" s="570" t="s">
        <v>208</v>
      </c>
      <c r="U16" s="570" t="s">
        <v>27</v>
      </c>
      <c r="V16" s="570"/>
      <c r="W16" s="570" t="s">
        <v>174</v>
      </c>
      <c r="X16" s="570" t="s">
        <v>188</v>
      </c>
      <c r="Y16" s="570" t="s">
        <v>230</v>
      </c>
      <c r="Z16" s="570" t="s">
        <v>1030</v>
      </c>
      <c r="AA16" s="570"/>
      <c r="AB16" s="571"/>
      <c r="AD16" s="569"/>
      <c r="AE16" s="570"/>
      <c r="AF16" s="570"/>
      <c r="AG16" s="570"/>
      <c r="AH16" s="570"/>
      <c r="AI16" s="570"/>
      <c r="AJ16" s="570"/>
      <c r="AK16" s="570"/>
      <c r="AL16" s="570"/>
      <c r="AM16" s="570"/>
      <c r="AN16" s="571"/>
    </row>
    <row r="17" spans="1:40" ht="20.100000000000001" customHeight="1">
      <c r="A17" s="163" t="s">
        <v>13</v>
      </c>
      <c r="B17" s="283" t="s">
        <v>9</v>
      </c>
      <c r="C17" s="248" t="s">
        <v>11</v>
      </c>
      <c r="D17" s="19"/>
      <c r="E17" s="530" t="s">
        <v>11</v>
      </c>
      <c r="F17" s="531" t="s">
        <v>13</v>
      </c>
      <c r="G17" s="532" t="s">
        <v>9</v>
      </c>
      <c r="H17" s="533" t="s">
        <v>1182</v>
      </c>
      <c r="I17" s="534" t="s">
        <v>1183</v>
      </c>
      <c r="K17" s="214" t="s">
        <v>322</v>
      </c>
      <c r="L17" s="215" t="s">
        <v>510</v>
      </c>
      <c r="M17" s="216" t="s">
        <v>323</v>
      </c>
      <c r="O17" s="206" t="s">
        <v>610</v>
      </c>
      <c r="P17" s="176" t="s">
        <v>809</v>
      </c>
      <c r="R17" s="569" t="s">
        <v>236</v>
      </c>
      <c r="S17" s="570" t="s">
        <v>203</v>
      </c>
      <c r="T17" s="570" t="s">
        <v>18</v>
      </c>
      <c r="U17" s="570" t="s">
        <v>213</v>
      </c>
      <c r="V17" s="570"/>
      <c r="W17" s="570" t="s">
        <v>945</v>
      </c>
      <c r="X17" s="570" t="s">
        <v>189</v>
      </c>
      <c r="Y17" s="570" t="s">
        <v>99</v>
      </c>
      <c r="Z17" s="570" t="s">
        <v>944</v>
      </c>
      <c r="AA17" s="570"/>
      <c r="AB17" s="571"/>
      <c r="AD17" s="569"/>
      <c r="AE17" s="570"/>
      <c r="AF17" s="570"/>
      <c r="AG17" s="570"/>
      <c r="AH17" s="570"/>
      <c r="AI17" s="570"/>
      <c r="AJ17" s="570"/>
      <c r="AK17" s="570"/>
      <c r="AL17" s="570"/>
      <c r="AM17" s="570"/>
      <c r="AN17" s="571"/>
    </row>
    <row r="18" spans="1:40" ht="20.100000000000001" customHeight="1" thickBot="1">
      <c r="A18" s="162" t="s">
        <v>14</v>
      </c>
      <c r="B18" s="281" t="s">
        <v>9</v>
      </c>
      <c r="C18" s="256" t="s">
        <v>11</v>
      </c>
      <c r="D18" s="19"/>
      <c r="E18" s="530" t="s">
        <v>11</v>
      </c>
      <c r="F18" s="531" t="s">
        <v>14</v>
      </c>
      <c r="G18" s="532" t="s">
        <v>9</v>
      </c>
      <c r="H18" s="533" t="s">
        <v>1184</v>
      </c>
      <c r="I18" s="534" t="s">
        <v>1185</v>
      </c>
      <c r="K18" s="217" t="s">
        <v>324</v>
      </c>
      <c r="L18" s="218" t="s">
        <v>510</v>
      </c>
      <c r="M18" s="219" t="s">
        <v>325</v>
      </c>
      <c r="O18" s="206"/>
      <c r="P18" s="173" t="s">
        <v>554</v>
      </c>
      <c r="R18" s="569"/>
      <c r="S18" s="570" t="s">
        <v>935</v>
      </c>
      <c r="T18" s="570" t="s">
        <v>19</v>
      </c>
      <c r="U18" s="570" t="s">
        <v>1015</v>
      </c>
      <c r="V18" s="570"/>
      <c r="W18" s="570" t="s">
        <v>78</v>
      </c>
      <c r="X18" s="570" t="s">
        <v>209</v>
      </c>
      <c r="Y18" s="570" t="s">
        <v>100</v>
      </c>
      <c r="Z18" s="570" t="s">
        <v>1031</v>
      </c>
      <c r="AA18" s="570"/>
      <c r="AB18" s="571"/>
      <c r="AD18" s="569"/>
      <c r="AE18" s="570"/>
      <c r="AF18" s="570"/>
      <c r="AG18" s="570"/>
      <c r="AH18" s="570"/>
      <c r="AI18" s="570"/>
      <c r="AJ18" s="570"/>
      <c r="AK18" s="570"/>
      <c r="AL18" s="570"/>
      <c r="AM18" s="570"/>
      <c r="AN18" s="571"/>
    </row>
    <row r="19" spans="1:40" ht="20.100000000000001" customHeight="1" thickBot="1">
      <c r="A19" s="161" t="s">
        <v>29</v>
      </c>
      <c r="B19" s="280" t="s">
        <v>22</v>
      </c>
      <c r="C19" s="255" t="s">
        <v>195</v>
      </c>
      <c r="D19" s="19"/>
      <c r="E19" s="520" t="s">
        <v>195</v>
      </c>
      <c r="F19" s="521" t="s">
        <v>29</v>
      </c>
      <c r="G19" s="522" t="s">
        <v>22</v>
      </c>
      <c r="H19" s="533" t="s">
        <v>1186</v>
      </c>
      <c r="I19" s="524" t="s">
        <v>1187</v>
      </c>
      <c r="K19" s="223" t="s">
        <v>326</v>
      </c>
      <c r="L19" s="224" t="s">
        <v>510</v>
      </c>
      <c r="M19" s="225" t="s">
        <v>327</v>
      </c>
      <c r="O19" s="206"/>
      <c r="P19" s="174" t="s">
        <v>555</v>
      </c>
      <c r="R19" s="569"/>
      <c r="S19" s="570" t="s">
        <v>66</v>
      </c>
      <c r="T19" s="570" t="s">
        <v>20</v>
      </c>
      <c r="U19" s="570" t="s">
        <v>1016</v>
      </c>
      <c r="V19" s="570"/>
      <c r="W19" s="570" t="s">
        <v>175</v>
      </c>
      <c r="X19" s="570" t="s">
        <v>91</v>
      </c>
      <c r="Y19" s="570" t="s">
        <v>101</v>
      </c>
      <c r="Z19" s="570" t="s">
        <v>1032</v>
      </c>
      <c r="AA19" s="570"/>
      <c r="AB19" s="571"/>
      <c r="AD19" s="569"/>
      <c r="AE19" s="570"/>
      <c r="AF19" s="570"/>
      <c r="AG19" s="570"/>
      <c r="AH19" s="570"/>
      <c r="AI19" s="570"/>
      <c r="AJ19" s="570"/>
      <c r="AK19" s="570"/>
      <c r="AL19" s="570"/>
      <c r="AM19" s="570"/>
      <c r="AN19" s="571"/>
    </row>
    <row r="20" spans="1:40" ht="20.100000000000001" customHeight="1" thickBot="1">
      <c r="A20" s="163" t="s">
        <v>186</v>
      </c>
      <c r="B20" s="283" t="s">
        <v>22</v>
      </c>
      <c r="C20" s="248" t="s">
        <v>195</v>
      </c>
      <c r="D20" s="19"/>
      <c r="E20" s="515" t="s">
        <v>195</v>
      </c>
      <c r="F20" s="516" t="s">
        <v>186</v>
      </c>
      <c r="G20" s="517" t="s">
        <v>22</v>
      </c>
      <c r="H20" s="518" t="s">
        <v>1188</v>
      </c>
      <c r="I20" s="519" t="s">
        <v>1189</v>
      </c>
      <c r="K20" s="226" t="s">
        <v>328</v>
      </c>
      <c r="L20" s="227" t="s">
        <v>510</v>
      </c>
      <c r="M20" s="228" t="s">
        <v>329</v>
      </c>
      <c r="O20" s="206"/>
      <c r="P20" s="175" t="s">
        <v>556</v>
      </c>
      <c r="R20" s="569"/>
      <c r="S20" s="570" t="s">
        <v>205</v>
      </c>
      <c r="T20" s="570"/>
      <c r="U20" s="570" t="s">
        <v>28</v>
      </c>
      <c r="V20" s="570"/>
      <c r="W20" s="570" t="s">
        <v>79</v>
      </c>
      <c r="X20" s="570"/>
      <c r="Y20" s="570" t="s">
        <v>102</v>
      </c>
      <c r="Z20" s="570" t="s">
        <v>1033</v>
      </c>
      <c r="AA20" s="570"/>
      <c r="AB20" s="571"/>
      <c r="AD20" s="569"/>
      <c r="AE20" s="570"/>
      <c r="AF20" s="570"/>
      <c r="AG20" s="570"/>
      <c r="AH20" s="570"/>
      <c r="AI20" s="570"/>
      <c r="AJ20" s="570"/>
      <c r="AK20" s="570"/>
      <c r="AL20" s="570"/>
      <c r="AM20" s="570"/>
      <c r="AN20" s="571"/>
    </row>
    <row r="21" spans="1:40" ht="20.100000000000001" customHeight="1">
      <c r="A21" s="163" t="s">
        <v>187</v>
      </c>
      <c r="B21" s="283" t="s">
        <v>22</v>
      </c>
      <c r="C21" s="248" t="s">
        <v>195</v>
      </c>
      <c r="D21" s="19"/>
      <c r="E21" s="530" t="s">
        <v>195</v>
      </c>
      <c r="F21" s="531" t="s">
        <v>187</v>
      </c>
      <c r="G21" s="532" t="s">
        <v>22</v>
      </c>
      <c r="H21" s="533" t="s">
        <v>1190</v>
      </c>
      <c r="I21" s="534" t="s">
        <v>1191</v>
      </c>
      <c r="K21" s="214" t="s">
        <v>330</v>
      </c>
      <c r="L21" s="215" t="s">
        <v>511</v>
      </c>
      <c r="M21" s="216" t="s">
        <v>331</v>
      </c>
      <c r="O21" s="206" t="s">
        <v>611</v>
      </c>
      <c r="P21" s="176" t="s">
        <v>684</v>
      </c>
      <c r="R21" s="569"/>
      <c r="S21" s="570" t="s">
        <v>206</v>
      </c>
      <c r="T21" s="570"/>
      <c r="U21" s="570" t="s">
        <v>1036</v>
      </c>
      <c r="V21" s="570"/>
      <c r="W21" s="570" t="s">
        <v>80</v>
      </c>
      <c r="X21" s="570"/>
      <c r="Y21" s="570" t="s">
        <v>939</v>
      </c>
      <c r="Z21" s="570" t="s">
        <v>106</v>
      </c>
      <c r="AA21" s="570"/>
      <c r="AB21" s="571"/>
      <c r="AD21" s="569"/>
      <c r="AE21" s="570"/>
      <c r="AF21" s="570"/>
      <c r="AG21" s="570"/>
      <c r="AH21" s="570"/>
      <c r="AI21" s="570"/>
      <c r="AJ21" s="570"/>
      <c r="AK21" s="570"/>
      <c r="AL21" s="570"/>
      <c r="AM21" s="570"/>
      <c r="AN21" s="571"/>
    </row>
    <row r="22" spans="1:40" ht="20.100000000000001" customHeight="1" thickBot="1">
      <c r="A22" s="163" t="s">
        <v>198</v>
      </c>
      <c r="B22" s="283" t="s">
        <v>22</v>
      </c>
      <c r="C22" s="248" t="s">
        <v>195</v>
      </c>
      <c r="D22" s="19"/>
      <c r="E22" s="530" t="s">
        <v>195</v>
      </c>
      <c r="F22" s="531" t="s">
        <v>198</v>
      </c>
      <c r="G22" s="532" t="s">
        <v>22</v>
      </c>
      <c r="H22" s="533" t="s">
        <v>1192</v>
      </c>
      <c r="I22" s="534" t="s">
        <v>1193</v>
      </c>
      <c r="K22" s="220" t="s">
        <v>332</v>
      </c>
      <c r="L22" s="221" t="s">
        <v>511</v>
      </c>
      <c r="M22" s="222" t="s">
        <v>333</v>
      </c>
      <c r="O22" s="206" t="s">
        <v>612</v>
      </c>
      <c r="P22" s="176" t="s">
        <v>685</v>
      </c>
      <c r="R22" s="569"/>
      <c r="S22" s="570" t="s">
        <v>207</v>
      </c>
      <c r="T22" s="570"/>
      <c r="U22" s="570" t="s">
        <v>233</v>
      </c>
      <c r="V22" s="570"/>
      <c r="W22" s="570" t="s">
        <v>81</v>
      </c>
      <c r="X22" s="570"/>
      <c r="Y22" s="570"/>
      <c r="Z22" s="570" t="s">
        <v>946</v>
      </c>
      <c r="AA22" s="570"/>
      <c r="AB22" s="571"/>
      <c r="AD22" s="569"/>
      <c r="AE22" s="570"/>
      <c r="AF22" s="570"/>
      <c r="AG22" s="570"/>
      <c r="AH22" s="570"/>
      <c r="AI22" s="570"/>
      <c r="AJ22" s="570"/>
      <c r="AK22" s="570"/>
      <c r="AL22" s="570"/>
      <c r="AM22" s="570"/>
      <c r="AN22" s="571"/>
    </row>
    <row r="23" spans="1:40" ht="20.100000000000001" customHeight="1">
      <c r="A23" s="163" t="s">
        <v>928</v>
      </c>
      <c r="B23" s="283" t="s">
        <v>22</v>
      </c>
      <c r="C23" s="248" t="s">
        <v>195</v>
      </c>
      <c r="D23" s="19"/>
      <c r="E23" s="530" t="s">
        <v>195</v>
      </c>
      <c r="F23" s="531" t="s">
        <v>928</v>
      </c>
      <c r="G23" s="532" t="s">
        <v>22</v>
      </c>
      <c r="H23" s="533" t="s">
        <v>1194</v>
      </c>
      <c r="I23" s="534" t="s">
        <v>1195</v>
      </c>
      <c r="K23" s="214" t="s">
        <v>334</v>
      </c>
      <c r="L23" s="215" t="s">
        <v>512</v>
      </c>
      <c r="M23" s="216" t="s">
        <v>335</v>
      </c>
      <c r="O23" s="206"/>
      <c r="P23" s="175" t="s">
        <v>557</v>
      </c>
      <c r="R23" s="569"/>
      <c r="S23" s="570" t="s">
        <v>1061</v>
      </c>
      <c r="T23" s="570"/>
      <c r="U23" s="570" t="s">
        <v>234</v>
      </c>
      <c r="V23" s="570"/>
      <c r="W23" s="570" t="s">
        <v>864</v>
      </c>
      <c r="X23" s="570"/>
      <c r="Y23" s="570"/>
      <c r="Z23" s="570" t="s">
        <v>1132</v>
      </c>
      <c r="AA23" s="570"/>
      <c r="AB23" s="571"/>
      <c r="AD23" s="569"/>
      <c r="AE23" s="570"/>
      <c r="AF23" s="570"/>
      <c r="AG23" s="570"/>
      <c r="AH23" s="570"/>
      <c r="AI23" s="570"/>
      <c r="AJ23" s="570"/>
      <c r="AK23" s="570"/>
      <c r="AL23" s="570"/>
      <c r="AM23" s="570"/>
      <c r="AN23" s="571"/>
    </row>
    <row r="24" spans="1:40" ht="20.100000000000001" customHeight="1" thickBot="1">
      <c r="A24" s="162" t="s">
        <v>1006</v>
      </c>
      <c r="B24" s="281" t="s">
        <v>22</v>
      </c>
      <c r="C24" s="256" t="s">
        <v>195</v>
      </c>
      <c r="D24" s="19"/>
      <c r="E24" s="520" t="s">
        <v>195</v>
      </c>
      <c r="F24" s="521" t="s">
        <v>1006</v>
      </c>
      <c r="G24" s="522" t="s">
        <v>22</v>
      </c>
      <c r="H24" s="523" t="s">
        <v>1196</v>
      </c>
      <c r="I24" s="524" t="s">
        <v>1197</v>
      </c>
      <c r="K24" s="217" t="s">
        <v>336</v>
      </c>
      <c r="L24" s="218" t="s">
        <v>512</v>
      </c>
      <c r="M24" s="219" t="s">
        <v>337</v>
      </c>
      <c r="O24" s="206" t="s">
        <v>613</v>
      </c>
      <c r="P24" s="176" t="s">
        <v>686</v>
      </c>
      <c r="R24" s="569"/>
      <c r="S24" s="570"/>
      <c r="T24" s="570"/>
      <c r="U24" s="570" t="s">
        <v>859</v>
      </c>
      <c r="V24" s="570"/>
      <c r="W24" s="570" t="s">
        <v>84</v>
      </c>
      <c r="X24" s="570"/>
      <c r="Y24" s="570"/>
      <c r="Z24" s="570" t="s">
        <v>190</v>
      </c>
      <c r="AA24" s="570"/>
      <c r="AB24" s="571"/>
      <c r="AD24" s="569"/>
      <c r="AE24" s="570"/>
      <c r="AF24" s="570"/>
      <c r="AG24" s="570"/>
      <c r="AH24" s="570"/>
      <c r="AI24" s="570"/>
      <c r="AJ24" s="570"/>
      <c r="AK24" s="570"/>
      <c r="AL24" s="570"/>
      <c r="AM24" s="570"/>
      <c r="AN24" s="571"/>
    </row>
    <row r="25" spans="1:40" ht="20.100000000000001" customHeight="1">
      <c r="A25" s="161" t="s">
        <v>103</v>
      </c>
      <c r="B25" s="280" t="s">
        <v>104</v>
      </c>
      <c r="C25" s="255" t="s">
        <v>105</v>
      </c>
      <c r="D25" s="19"/>
      <c r="E25" s="530" t="s">
        <v>105</v>
      </c>
      <c r="F25" s="531" t="s">
        <v>103</v>
      </c>
      <c r="G25" s="532" t="s">
        <v>104</v>
      </c>
      <c r="H25" s="533" t="s">
        <v>1198</v>
      </c>
      <c r="I25" s="534" t="s">
        <v>1199</v>
      </c>
      <c r="K25" s="217" t="s">
        <v>338</v>
      </c>
      <c r="L25" s="218" t="s">
        <v>512</v>
      </c>
      <c r="M25" s="219" t="s">
        <v>339</v>
      </c>
      <c r="O25" s="206" t="s">
        <v>614</v>
      </c>
      <c r="P25" s="176" t="s">
        <v>687</v>
      </c>
      <c r="R25" s="569"/>
      <c r="S25" s="570"/>
      <c r="T25" s="570"/>
      <c r="U25" s="570" t="s">
        <v>955</v>
      </c>
      <c r="V25" s="570"/>
      <c r="W25" s="570" t="s">
        <v>85</v>
      </c>
      <c r="X25" s="570"/>
      <c r="Y25" s="570"/>
      <c r="Z25" s="570" t="s">
        <v>1133</v>
      </c>
      <c r="AA25" s="570"/>
      <c r="AB25" s="571"/>
      <c r="AD25" s="569"/>
      <c r="AE25" s="570"/>
      <c r="AF25" s="570"/>
      <c r="AG25" s="570"/>
      <c r="AH25" s="570"/>
      <c r="AI25" s="570"/>
      <c r="AJ25" s="570"/>
      <c r="AK25" s="570"/>
      <c r="AL25" s="570"/>
      <c r="AM25" s="570"/>
      <c r="AN25" s="571"/>
    </row>
    <row r="26" spans="1:40" ht="20.100000000000001" customHeight="1">
      <c r="A26" s="333" t="s">
        <v>849</v>
      </c>
      <c r="B26" s="283" t="s">
        <v>104</v>
      </c>
      <c r="C26" s="248" t="s">
        <v>105</v>
      </c>
      <c r="D26" s="19"/>
      <c r="E26" s="530" t="s">
        <v>105</v>
      </c>
      <c r="F26" s="531" t="s">
        <v>849</v>
      </c>
      <c r="G26" s="532" t="s">
        <v>104</v>
      </c>
      <c r="H26" s="533" t="s">
        <v>1200</v>
      </c>
      <c r="I26" s="534" t="s">
        <v>1201</v>
      </c>
      <c r="K26" s="217" t="s">
        <v>340</v>
      </c>
      <c r="L26" s="218" t="s">
        <v>512</v>
      </c>
      <c r="M26" s="219" t="s">
        <v>341</v>
      </c>
      <c r="O26" s="206" t="s">
        <v>615</v>
      </c>
      <c r="P26" s="176" t="s">
        <v>688</v>
      </c>
      <c r="R26" s="569"/>
      <c r="S26" s="570"/>
      <c r="T26" s="570"/>
      <c r="U26" s="570" t="s">
        <v>860</v>
      </c>
      <c r="V26" s="570"/>
      <c r="W26" s="570" t="s">
        <v>176</v>
      </c>
      <c r="X26" s="570"/>
      <c r="Y26" s="570"/>
      <c r="Z26" s="570" t="s">
        <v>1645</v>
      </c>
      <c r="AA26" s="570"/>
      <c r="AB26" s="571"/>
      <c r="AD26" s="569"/>
      <c r="AE26" s="570"/>
      <c r="AF26" s="570"/>
      <c r="AG26" s="570"/>
      <c r="AH26" s="570"/>
      <c r="AI26" s="570"/>
      <c r="AJ26" s="570"/>
      <c r="AK26" s="570"/>
      <c r="AL26" s="570"/>
      <c r="AM26" s="570"/>
      <c r="AN26" s="571"/>
    </row>
    <row r="27" spans="1:40" ht="20.100000000000001" customHeight="1">
      <c r="A27" s="333" t="s">
        <v>850</v>
      </c>
      <c r="B27" s="283" t="s">
        <v>104</v>
      </c>
      <c r="C27" s="248" t="s">
        <v>105</v>
      </c>
      <c r="D27" s="19"/>
      <c r="E27" s="530" t="s">
        <v>105</v>
      </c>
      <c r="F27" s="531" t="s">
        <v>850</v>
      </c>
      <c r="G27" s="532" t="s">
        <v>104</v>
      </c>
      <c r="H27" s="533" t="s">
        <v>1202</v>
      </c>
      <c r="I27" s="534" t="s">
        <v>1203</v>
      </c>
      <c r="K27" s="217" t="s">
        <v>342</v>
      </c>
      <c r="L27" s="218" t="s">
        <v>512</v>
      </c>
      <c r="M27" s="219" t="s">
        <v>343</v>
      </c>
      <c r="O27" s="206" t="s">
        <v>616</v>
      </c>
      <c r="P27" s="176" t="s">
        <v>689</v>
      </c>
      <c r="R27" s="569"/>
      <c r="S27" s="570"/>
      <c r="T27" s="570"/>
      <c r="U27" s="570" t="s">
        <v>861</v>
      </c>
      <c r="V27" s="570"/>
      <c r="W27" s="570" t="s">
        <v>82</v>
      </c>
      <c r="X27" s="570"/>
      <c r="Y27" s="570"/>
      <c r="Z27" s="570" t="s">
        <v>178</v>
      </c>
      <c r="AA27" s="570"/>
      <c r="AB27" s="571"/>
      <c r="AD27" s="569"/>
      <c r="AE27" s="570"/>
      <c r="AF27" s="570"/>
      <c r="AG27" s="570"/>
      <c r="AH27" s="570"/>
      <c r="AI27" s="570"/>
      <c r="AJ27" s="570"/>
      <c r="AK27" s="570"/>
      <c r="AL27" s="570"/>
      <c r="AM27" s="570"/>
      <c r="AN27" s="571"/>
    </row>
    <row r="28" spans="1:40" ht="20.100000000000001" customHeight="1">
      <c r="A28" s="333" t="s">
        <v>853</v>
      </c>
      <c r="B28" s="283" t="s">
        <v>104</v>
      </c>
      <c r="C28" s="248" t="s">
        <v>105</v>
      </c>
      <c r="D28" s="19"/>
      <c r="E28" s="530" t="s">
        <v>105</v>
      </c>
      <c r="F28" s="531" t="s">
        <v>853</v>
      </c>
      <c r="G28" s="532" t="s">
        <v>104</v>
      </c>
      <c r="H28" s="533" t="s">
        <v>1204</v>
      </c>
      <c r="I28" s="534" t="s">
        <v>1205</v>
      </c>
      <c r="K28" s="217" t="s">
        <v>344</v>
      </c>
      <c r="L28" s="218" t="s">
        <v>512</v>
      </c>
      <c r="M28" s="219" t="s">
        <v>345</v>
      </c>
      <c r="O28" s="206" t="s">
        <v>617</v>
      </c>
      <c r="P28" s="176" t="s">
        <v>690</v>
      </c>
      <c r="R28" s="569"/>
      <c r="S28" s="570"/>
      <c r="T28" s="570"/>
      <c r="U28" s="570" t="s">
        <v>862</v>
      </c>
      <c r="V28" s="570"/>
      <c r="W28" s="570" t="s">
        <v>83</v>
      </c>
      <c r="X28" s="570"/>
      <c r="Y28" s="570"/>
      <c r="Z28" s="570" t="s">
        <v>179</v>
      </c>
      <c r="AA28" s="570"/>
      <c r="AB28" s="571"/>
      <c r="AD28" s="569"/>
      <c r="AE28" s="570"/>
      <c r="AF28" s="570"/>
      <c r="AG28" s="570"/>
      <c r="AH28" s="570"/>
      <c r="AI28" s="570"/>
      <c r="AJ28" s="570"/>
      <c r="AK28" s="570"/>
      <c r="AL28" s="570"/>
      <c r="AM28" s="570"/>
      <c r="AN28" s="571"/>
    </row>
    <row r="29" spans="1:40" ht="20.100000000000001" customHeight="1">
      <c r="A29" s="333" t="s">
        <v>854</v>
      </c>
      <c r="B29" s="283" t="s">
        <v>104</v>
      </c>
      <c r="C29" s="248" t="s">
        <v>105</v>
      </c>
      <c r="D29" s="19"/>
      <c r="E29" s="530" t="s">
        <v>105</v>
      </c>
      <c r="F29" s="531" t="s">
        <v>854</v>
      </c>
      <c r="G29" s="532" t="s">
        <v>104</v>
      </c>
      <c r="H29" s="533" t="s">
        <v>1206</v>
      </c>
      <c r="I29" s="534" t="s">
        <v>1207</v>
      </c>
      <c r="K29" s="217" t="s">
        <v>346</v>
      </c>
      <c r="L29" s="218" t="s">
        <v>512</v>
      </c>
      <c r="M29" s="219" t="s">
        <v>347</v>
      </c>
      <c r="O29" s="206" t="s">
        <v>810</v>
      </c>
      <c r="P29" s="176" t="s">
        <v>691</v>
      </c>
      <c r="R29" s="569"/>
      <c r="S29" s="570"/>
      <c r="T29" s="570"/>
      <c r="U29" s="570" t="s">
        <v>1141</v>
      </c>
      <c r="V29" s="570"/>
      <c r="W29" s="570"/>
      <c r="X29" s="570"/>
      <c r="Y29" s="570"/>
      <c r="Z29" s="570" t="s">
        <v>180</v>
      </c>
      <c r="AA29" s="570"/>
      <c r="AB29" s="571"/>
      <c r="AD29" s="569"/>
      <c r="AE29" s="570"/>
      <c r="AF29" s="570"/>
      <c r="AG29" s="570"/>
      <c r="AH29" s="570"/>
      <c r="AI29" s="570"/>
      <c r="AJ29" s="570"/>
      <c r="AK29" s="570"/>
      <c r="AL29" s="570"/>
      <c r="AM29" s="570"/>
      <c r="AN29" s="571"/>
    </row>
    <row r="30" spans="1:40" ht="20.100000000000001" customHeight="1">
      <c r="A30" s="333" t="s">
        <v>1130</v>
      </c>
      <c r="B30" s="283" t="s">
        <v>104</v>
      </c>
      <c r="C30" s="248" t="s">
        <v>105</v>
      </c>
      <c r="D30" s="19"/>
      <c r="E30" s="530" t="s">
        <v>105</v>
      </c>
      <c r="F30" s="531" t="s">
        <v>1130</v>
      </c>
      <c r="G30" s="532" t="s">
        <v>104</v>
      </c>
      <c r="H30" s="533" t="s">
        <v>1208</v>
      </c>
      <c r="I30" s="534" t="s">
        <v>1209</v>
      </c>
      <c r="K30" s="217" t="s">
        <v>348</v>
      </c>
      <c r="L30" s="218" t="s">
        <v>512</v>
      </c>
      <c r="M30" s="219" t="s">
        <v>349</v>
      </c>
      <c r="O30" s="206" t="s">
        <v>618</v>
      </c>
      <c r="P30" s="176" t="s">
        <v>692</v>
      </c>
      <c r="R30" s="569"/>
      <c r="S30" s="570"/>
      <c r="T30" s="570"/>
      <c r="U30" s="570" t="s">
        <v>863</v>
      </c>
      <c r="V30" s="570"/>
      <c r="W30" s="570"/>
      <c r="X30" s="570"/>
      <c r="Y30" s="570"/>
      <c r="Z30" s="570" t="s">
        <v>181</v>
      </c>
      <c r="AA30" s="570"/>
      <c r="AB30" s="571"/>
      <c r="AD30" s="569"/>
      <c r="AE30" s="570"/>
      <c r="AF30" s="570"/>
      <c r="AG30" s="570"/>
      <c r="AH30" s="570"/>
      <c r="AI30" s="570"/>
      <c r="AJ30" s="570"/>
      <c r="AK30" s="570"/>
      <c r="AL30" s="570"/>
      <c r="AM30" s="570"/>
      <c r="AN30" s="571"/>
    </row>
    <row r="31" spans="1:40" ht="20.100000000000001" customHeight="1">
      <c r="A31" s="333" t="s">
        <v>855</v>
      </c>
      <c r="B31" s="283" t="s">
        <v>104</v>
      </c>
      <c r="C31" s="248" t="s">
        <v>105</v>
      </c>
      <c r="D31" s="19"/>
      <c r="E31" s="530" t="s">
        <v>105</v>
      </c>
      <c r="F31" s="531" t="s">
        <v>855</v>
      </c>
      <c r="G31" s="532" t="s">
        <v>104</v>
      </c>
      <c r="H31" s="533" t="s">
        <v>1210</v>
      </c>
      <c r="I31" s="534" t="s">
        <v>1211</v>
      </c>
      <c r="K31" s="217" t="s">
        <v>350</v>
      </c>
      <c r="L31" s="218" t="s">
        <v>512</v>
      </c>
      <c r="M31" s="219" t="s">
        <v>878</v>
      </c>
      <c r="O31" s="206" t="s">
        <v>619</v>
      </c>
      <c r="P31" s="176" t="s">
        <v>693</v>
      </c>
      <c r="R31" s="569"/>
      <c r="S31" s="570"/>
      <c r="T31" s="570"/>
      <c r="U31" s="570" t="s">
        <v>30</v>
      </c>
      <c r="V31" s="570"/>
      <c r="W31" s="570"/>
      <c r="X31" s="570"/>
      <c r="Y31" s="570"/>
      <c r="Z31" s="570"/>
      <c r="AA31" s="570"/>
      <c r="AB31" s="571"/>
      <c r="AD31" s="569"/>
      <c r="AE31" s="570"/>
      <c r="AF31" s="570"/>
      <c r="AG31" s="570"/>
      <c r="AH31" s="570"/>
      <c r="AI31" s="570"/>
      <c r="AJ31" s="570"/>
      <c r="AK31" s="570"/>
      <c r="AL31" s="570"/>
      <c r="AM31" s="570"/>
      <c r="AN31" s="571"/>
    </row>
    <row r="32" spans="1:40" ht="20.100000000000001" customHeight="1" thickBot="1">
      <c r="A32" s="252" t="s">
        <v>802</v>
      </c>
      <c r="B32" s="279" t="s">
        <v>104</v>
      </c>
      <c r="C32" s="253" t="s">
        <v>105</v>
      </c>
      <c r="D32" s="19"/>
      <c r="E32" s="520" t="s">
        <v>105</v>
      </c>
      <c r="F32" s="521" t="s">
        <v>802</v>
      </c>
      <c r="G32" s="522" t="s">
        <v>104</v>
      </c>
      <c r="H32" s="523" t="s">
        <v>1212</v>
      </c>
      <c r="I32" s="524" t="s">
        <v>1213</v>
      </c>
      <c r="K32" s="217" t="s">
        <v>351</v>
      </c>
      <c r="L32" s="218" t="s">
        <v>512</v>
      </c>
      <c r="M32" s="219" t="s">
        <v>879</v>
      </c>
      <c r="O32" s="206" t="s">
        <v>620</v>
      </c>
      <c r="P32" s="176" t="s">
        <v>694</v>
      </c>
      <c r="R32" s="569"/>
      <c r="S32" s="570"/>
      <c r="T32" s="570"/>
      <c r="U32" s="570" t="s">
        <v>265</v>
      </c>
      <c r="V32" s="570"/>
      <c r="W32" s="570"/>
      <c r="X32" s="570"/>
      <c r="Y32" s="570"/>
      <c r="Z32" s="570"/>
      <c r="AA32" s="570"/>
      <c r="AB32" s="571"/>
      <c r="AD32" s="569"/>
      <c r="AE32" s="570"/>
      <c r="AF32" s="570"/>
      <c r="AG32" s="570"/>
      <c r="AH32" s="570"/>
      <c r="AI32" s="570"/>
      <c r="AJ32" s="570"/>
      <c r="AK32" s="570"/>
      <c r="AL32" s="570"/>
      <c r="AM32" s="570"/>
      <c r="AN32" s="571"/>
    </row>
    <row r="33" spans="1:40" ht="20.100000000000001" customHeight="1">
      <c r="A33" s="161" t="s">
        <v>929</v>
      </c>
      <c r="B33" s="280" t="s">
        <v>104</v>
      </c>
      <c r="C33" s="255" t="s">
        <v>1135</v>
      </c>
      <c r="D33" s="19"/>
      <c r="E33" s="530" t="s">
        <v>1135</v>
      </c>
      <c r="F33" s="531" t="s">
        <v>929</v>
      </c>
      <c r="G33" s="532" t="s">
        <v>104</v>
      </c>
      <c r="H33" s="533" t="s">
        <v>1214</v>
      </c>
      <c r="I33" s="534" t="s">
        <v>1215</v>
      </c>
      <c r="K33" s="217" t="s">
        <v>352</v>
      </c>
      <c r="L33" s="218" t="s">
        <v>512</v>
      </c>
      <c r="M33" s="219" t="s">
        <v>880</v>
      </c>
      <c r="O33" s="206"/>
      <c r="P33" s="175" t="s">
        <v>558</v>
      </c>
      <c r="R33" s="569"/>
      <c r="S33" s="570"/>
      <c r="T33" s="570"/>
      <c r="U33" s="570" t="s">
        <v>266</v>
      </c>
      <c r="V33" s="570"/>
      <c r="W33" s="570"/>
      <c r="X33" s="570"/>
      <c r="Y33" s="570"/>
      <c r="Z33" s="570"/>
      <c r="AA33" s="570"/>
      <c r="AB33" s="571"/>
      <c r="AD33" s="569"/>
      <c r="AE33" s="570"/>
      <c r="AF33" s="570"/>
      <c r="AG33" s="570"/>
      <c r="AH33" s="570"/>
      <c r="AI33" s="570"/>
      <c r="AJ33" s="570"/>
      <c r="AK33" s="570"/>
      <c r="AL33" s="570"/>
      <c r="AM33" s="570"/>
      <c r="AN33" s="571"/>
    </row>
    <row r="34" spans="1:40" ht="20.100000000000001" customHeight="1">
      <c r="A34" s="163" t="s">
        <v>851</v>
      </c>
      <c r="B34" s="283" t="s">
        <v>104</v>
      </c>
      <c r="C34" s="248" t="s">
        <v>1135</v>
      </c>
      <c r="D34" s="19"/>
      <c r="E34" s="530" t="s">
        <v>1135</v>
      </c>
      <c r="F34" s="531" t="s">
        <v>851</v>
      </c>
      <c r="G34" s="532" t="s">
        <v>104</v>
      </c>
      <c r="H34" s="533" t="s">
        <v>1216</v>
      </c>
      <c r="I34" s="534" t="s">
        <v>1217</v>
      </c>
      <c r="K34" s="226" t="s">
        <v>353</v>
      </c>
      <c r="L34" s="227" t="s">
        <v>512</v>
      </c>
      <c r="M34" s="228" t="s">
        <v>881</v>
      </c>
      <c r="O34" s="206" t="s">
        <v>811</v>
      </c>
      <c r="P34" s="176" t="s">
        <v>695</v>
      </c>
      <c r="R34" s="569"/>
      <c r="S34" s="570"/>
      <c r="T34" s="570"/>
      <c r="U34" s="570" t="s">
        <v>1037</v>
      </c>
      <c r="V34" s="570"/>
      <c r="W34" s="570"/>
      <c r="X34" s="570"/>
      <c r="Y34" s="570"/>
      <c r="Z34" s="570"/>
      <c r="AA34" s="570"/>
      <c r="AB34" s="571"/>
      <c r="AD34" s="569"/>
      <c r="AE34" s="570"/>
      <c r="AF34" s="570"/>
      <c r="AG34" s="570"/>
      <c r="AH34" s="570"/>
      <c r="AI34" s="570"/>
      <c r="AJ34" s="570"/>
      <c r="AK34" s="570"/>
      <c r="AL34" s="570"/>
      <c r="AM34" s="570"/>
      <c r="AN34" s="571"/>
    </row>
    <row r="35" spans="1:40" ht="20.100000000000001" customHeight="1" thickBot="1">
      <c r="A35" s="163" t="s">
        <v>852</v>
      </c>
      <c r="B35" s="283" t="s">
        <v>104</v>
      </c>
      <c r="C35" s="248" t="s">
        <v>1135</v>
      </c>
      <c r="D35" s="19"/>
      <c r="E35" s="530" t="s">
        <v>1135</v>
      </c>
      <c r="F35" s="531" t="s">
        <v>852</v>
      </c>
      <c r="G35" s="532" t="s">
        <v>104</v>
      </c>
      <c r="H35" s="533" t="s">
        <v>1218</v>
      </c>
      <c r="I35" s="534" t="s">
        <v>1219</v>
      </c>
      <c r="K35" s="557"/>
      <c r="L35" s="558"/>
      <c r="M35" s="559"/>
      <c r="O35" s="206"/>
      <c r="P35" s="176"/>
      <c r="R35" s="569"/>
      <c r="S35" s="570"/>
      <c r="T35" s="570"/>
      <c r="U35" s="570" t="s">
        <v>1142</v>
      </c>
      <c r="V35" s="570"/>
      <c r="W35" s="570"/>
      <c r="X35" s="570"/>
      <c r="Y35" s="570"/>
      <c r="Z35" s="570"/>
      <c r="AA35" s="570"/>
      <c r="AB35" s="571"/>
      <c r="AD35" s="569"/>
      <c r="AE35" s="570"/>
      <c r="AF35" s="570"/>
      <c r="AG35" s="570"/>
      <c r="AH35" s="570"/>
      <c r="AI35" s="570"/>
      <c r="AJ35" s="570"/>
      <c r="AK35" s="570"/>
      <c r="AL35" s="570"/>
      <c r="AM35" s="570"/>
      <c r="AN35" s="571"/>
    </row>
    <row r="36" spans="1:40" ht="20.100000000000001" customHeight="1" thickBot="1">
      <c r="A36" s="252" t="s">
        <v>1131</v>
      </c>
      <c r="B36" s="279" t="s">
        <v>104</v>
      </c>
      <c r="C36" s="253" t="s">
        <v>1135</v>
      </c>
      <c r="D36" s="19"/>
      <c r="E36" s="530" t="s">
        <v>1135</v>
      </c>
      <c r="F36" s="531" t="s">
        <v>1131</v>
      </c>
      <c r="G36" s="532" t="s">
        <v>104</v>
      </c>
      <c r="H36" s="533" t="s">
        <v>1220</v>
      </c>
      <c r="I36" s="534">
        <v>10712</v>
      </c>
      <c r="K36" s="229" t="s">
        <v>354</v>
      </c>
      <c r="L36" s="230" t="s">
        <v>513</v>
      </c>
      <c r="M36" s="231" t="s">
        <v>274</v>
      </c>
      <c r="O36" s="206" t="s">
        <v>812</v>
      </c>
      <c r="P36" s="177" t="s">
        <v>813</v>
      </c>
      <c r="R36" s="569"/>
      <c r="S36" s="570"/>
      <c r="T36" s="570"/>
      <c r="U36" s="570" t="s">
        <v>167</v>
      </c>
      <c r="V36" s="570"/>
      <c r="W36" s="570"/>
      <c r="X36" s="570"/>
      <c r="Y36" s="570"/>
      <c r="Z36" s="570"/>
      <c r="AA36" s="570"/>
      <c r="AB36" s="571"/>
      <c r="AD36" s="569"/>
      <c r="AE36" s="570"/>
      <c r="AF36" s="570"/>
      <c r="AG36" s="570"/>
      <c r="AH36" s="570"/>
      <c r="AI36" s="570"/>
      <c r="AJ36" s="570"/>
      <c r="AK36" s="570"/>
      <c r="AL36" s="570"/>
      <c r="AM36" s="570"/>
      <c r="AN36" s="571"/>
    </row>
    <row r="37" spans="1:40" ht="20.100000000000001" customHeight="1" thickBot="1">
      <c r="A37" s="161" t="s">
        <v>21</v>
      </c>
      <c r="B37" s="280" t="s">
        <v>22</v>
      </c>
      <c r="C37" s="255" t="s">
        <v>23</v>
      </c>
      <c r="D37" s="19"/>
      <c r="E37" s="530" t="s">
        <v>23</v>
      </c>
      <c r="F37" s="531" t="s">
        <v>21</v>
      </c>
      <c r="G37" s="532" t="s">
        <v>22</v>
      </c>
      <c r="H37" s="533" t="s">
        <v>1221</v>
      </c>
      <c r="I37" s="534" t="s">
        <v>1222</v>
      </c>
      <c r="K37" s="214" t="s">
        <v>355</v>
      </c>
      <c r="L37" s="215" t="s">
        <v>514</v>
      </c>
      <c r="M37" s="216" t="s">
        <v>356</v>
      </c>
      <c r="O37" s="206" t="s">
        <v>621</v>
      </c>
      <c r="P37" s="176" t="s">
        <v>696</v>
      </c>
      <c r="R37" s="569"/>
      <c r="S37" s="570"/>
      <c r="T37" s="570"/>
      <c r="U37" s="570" t="s">
        <v>168</v>
      </c>
      <c r="V37" s="570"/>
      <c r="W37" s="570"/>
      <c r="X37" s="570"/>
      <c r="Y37" s="570"/>
      <c r="Z37" s="570"/>
      <c r="AA37" s="570"/>
      <c r="AB37" s="571"/>
      <c r="AD37" s="569"/>
      <c r="AE37" s="570"/>
      <c r="AF37" s="570"/>
      <c r="AG37" s="570"/>
      <c r="AH37" s="570"/>
      <c r="AI37" s="570"/>
      <c r="AJ37" s="570"/>
      <c r="AK37" s="570"/>
      <c r="AL37" s="570"/>
      <c r="AM37" s="570"/>
      <c r="AN37" s="571"/>
    </row>
    <row r="38" spans="1:40" ht="20.100000000000001" customHeight="1">
      <c r="A38" s="161" t="s">
        <v>24</v>
      </c>
      <c r="B38" s="280" t="s">
        <v>22</v>
      </c>
      <c r="C38" s="255" t="s">
        <v>23</v>
      </c>
      <c r="D38" s="19"/>
      <c r="E38" s="530" t="s">
        <v>23</v>
      </c>
      <c r="F38" s="531" t="s">
        <v>24</v>
      </c>
      <c r="G38" s="532" t="s">
        <v>22</v>
      </c>
      <c r="H38" s="533" t="s">
        <v>1223</v>
      </c>
      <c r="I38" s="534" t="s">
        <v>1224</v>
      </c>
      <c r="K38" s="217" t="s">
        <v>357</v>
      </c>
      <c r="L38" s="218" t="s">
        <v>514</v>
      </c>
      <c r="M38" s="219" t="s">
        <v>358</v>
      </c>
      <c r="O38" s="206" t="s">
        <v>622</v>
      </c>
      <c r="P38" s="176" t="s">
        <v>757</v>
      </c>
      <c r="R38" s="569"/>
      <c r="S38" s="570"/>
      <c r="T38" s="570"/>
      <c r="U38" s="570" t="s">
        <v>169</v>
      </c>
      <c r="V38" s="570"/>
      <c r="W38" s="570"/>
      <c r="X38" s="570"/>
      <c r="Y38" s="570"/>
      <c r="Z38" s="570"/>
      <c r="AA38" s="570"/>
      <c r="AB38" s="571"/>
      <c r="AD38" s="569"/>
      <c r="AE38" s="570"/>
      <c r="AF38" s="570"/>
      <c r="AG38" s="570"/>
      <c r="AH38" s="570"/>
      <c r="AI38" s="570"/>
      <c r="AJ38" s="570"/>
      <c r="AK38" s="570"/>
      <c r="AL38" s="570"/>
      <c r="AM38" s="570"/>
      <c r="AN38" s="571"/>
    </row>
    <row r="39" spans="1:40" ht="20.100000000000001" customHeight="1" thickBot="1">
      <c r="A39" s="163" t="s">
        <v>25</v>
      </c>
      <c r="B39" s="283" t="s">
        <v>22</v>
      </c>
      <c r="C39" s="248" t="s">
        <v>23</v>
      </c>
      <c r="D39" s="19"/>
      <c r="E39" s="530" t="s">
        <v>23</v>
      </c>
      <c r="F39" s="531" t="s">
        <v>25</v>
      </c>
      <c r="G39" s="532" t="s">
        <v>22</v>
      </c>
      <c r="H39" s="533" t="s">
        <v>1225</v>
      </c>
      <c r="I39" s="534" t="s">
        <v>1226</v>
      </c>
      <c r="K39" s="220" t="s">
        <v>359</v>
      </c>
      <c r="L39" s="221" t="s">
        <v>514</v>
      </c>
      <c r="M39" s="222" t="s">
        <v>360</v>
      </c>
      <c r="O39" s="206" t="s">
        <v>623</v>
      </c>
      <c r="P39" s="176" t="s">
        <v>756</v>
      </c>
      <c r="R39" s="569"/>
      <c r="S39" s="570"/>
      <c r="T39" s="570"/>
      <c r="U39" s="570" t="s">
        <v>31</v>
      </c>
      <c r="V39" s="570"/>
      <c r="W39" s="570"/>
      <c r="X39" s="570"/>
      <c r="Y39" s="570"/>
      <c r="Z39" s="570"/>
      <c r="AA39" s="570"/>
      <c r="AB39" s="571"/>
      <c r="AD39" s="569"/>
      <c r="AE39" s="570"/>
      <c r="AF39" s="570"/>
      <c r="AG39" s="570"/>
      <c r="AH39" s="570"/>
      <c r="AI39" s="570"/>
      <c r="AJ39" s="570"/>
      <c r="AK39" s="570"/>
      <c r="AL39" s="570"/>
      <c r="AM39" s="570"/>
      <c r="AN39" s="571"/>
    </row>
    <row r="40" spans="1:40" ht="20.100000000000001" customHeight="1">
      <c r="A40" s="163" t="s">
        <v>199</v>
      </c>
      <c r="B40" s="283" t="s">
        <v>22</v>
      </c>
      <c r="C40" s="248" t="s">
        <v>23</v>
      </c>
      <c r="D40" s="19"/>
      <c r="E40" s="530" t="s">
        <v>23</v>
      </c>
      <c r="F40" s="531" t="s">
        <v>199</v>
      </c>
      <c r="G40" s="532" t="s">
        <v>22</v>
      </c>
      <c r="H40" s="533" t="s">
        <v>1227</v>
      </c>
      <c r="I40" s="534" t="s">
        <v>1228</v>
      </c>
      <c r="K40" s="214" t="s">
        <v>361</v>
      </c>
      <c r="L40" s="215" t="s">
        <v>515</v>
      </c>
      <c r="M40" s="216" t="s">
        <v>962</v>
      </c>
      <c r="O40" s="206"/>
      <c r="P40" s="175" t="s">
        <v>559</v>
      </c>
      <c r="R40" s="569"/>
      <c r="S40" s="570"/>
      <c r="T40" s="570"/>
      <c r="U40" s="570" t="s">
        <v>235</v>
      </c>
      <c r="V40" s="570"/>
      <c r="W40" s="570"/>
      <c r="X40" s="570"/>
      <c r="Y40" s="570"/>
      <c r="Z40" s="570"/>
      <c r="AA40" s="570"/>
      <c r="AB40" s="571"/>
      <c r="AD40" s="569"/>
      <c r="AE40" s="570"/>
      <c r="AF40" s="570"/>
      <c r="AG40" s="570"/>
      <c r="AH40" s="570"/>
      <c r="AI40" s="570"/>
      <c r="AJ40" s="570"/>
      <c r="AK40" s="570"/>
      <c r="AL40" s="570"/>
      <c r="AM40" s="570"/>
      <c r="AN40" s="571"/>
    </row>
    <row r="41" spans="1:40" ht="20.100000000000001" customHeight="1">
      <c r="A41" s="163" t="s">
        <v>26</v>
      </c>
      <c r="B41" s="283" t="s">
        <v>22</v>
      </c>
      <c r="C41" s="248" t="s">
        <v>23</v>
      </c>
      <c r="D41" s="19"/>
      <c r="E41" s="530" t="s">
        <v>23</v>
      </c>
      <c r="F41" s="531" t="s">
        <v>26</v>
      </c>
      <c r="G41" s="532" t="s">
        <v>22</v>
      </c>
      <c r="H41" s="533" t="s">
        <v>1229</v>
      </c>
      <c r="I41" s="534" t="s">
        <v>1230</v>
      </c>
      <c r="K41" s="217" t="s">
        <v>362</v>
      </c>
      <c r="L41" s="218" t="s">
        <v>515</v>
      </c>
      <c r="M41" s="219" t="s">
        <v>963</v>
      </c>
      <c r="O41" s="206" t="s">
        <v>624</v>
      </c>
      <c r="P41" s="176" t="s">
        <v>814</v>
      </c>
      <c r="R41" s="569"/>
      <c r="S41" s="570"/>
      <c r="T41" s="570"/>
      <c r="U41" s="570" t="s">
        <v>32</v>
      </c>
      <c r="V41" s="570"/>
      <c r="W41" s="570"/>
      <c r="X41" s="570"/>
      <c r="Y41" s="570"/>
      <c r="Z41" s="570"/>
      <c r="AA41" s="570"/>
      <c r="AB41" s="571"/>
      <c r="AD41" s="569"/>
      <c r="AE41" s="570"/>
      <c r="AF41" s="570"/>
      <c r="AG41" s="570"/>
      <c r="AH41" s="570"/>
      <c r="AI41" s="570"/>
      <c r="AJ41" s="570"/>
      <c r="AK41" s="570"/>
      <c r="AL41" s="570"/>
      <c r="AM41" s="570"/>
      <c r="AN41" s="571"/>
    </row>
    <row r="42" spans="1:40" ht="20.100000000000001" customHeight="1">
      <c r="A42" s="163" t="s">
        <v>200</v>
      </c>
      <c r="B42" s="283" t="s">
        <v>22</v>
      </c>
      <c r="C42" s="248" t="s">
        <v>23</v>
      </c>
      <c r="D42" s="19"/>
      <c r="E42" s="530" t="s">
        <v>23</v>
      </c>
      <c r="F42" s="531" t="s">
        <v>200</v>
      </c>
      <c r="G42" s="532" t="s">
        <v>22</v>
      </c>
      <c r="H42" s="533" t="s">
        <v>1231</v>
      </c>
      <c r="I42" s="534" t="s">
        <v>1232</v>
      </c>
      <c r="K42" s="217" t="s">
        <v>363</v>
      </c>
      <c r="L42" s="218" t="s">
        <v>515</v>
      </c>
      <c r="M42" s="219" t="s">
        <v>964</v>
      </c>
      <c r="O42" s="206" t="s">
        <v>815</v>
      </c>
      <c r="P42" s="176" t="s">
        <v>755</v>
      </c>
      <c r="R42" s="569"/>
      <c r="S42" s="570"/>
      <c r="T42" s="570"/>
      <c r="U42" s="570" t="s">
        <v>33</v>
      </c>
      <c r="V42" s="570"/>
      <c r="W42" s="570"/>
      <c r="X42" s="570"/>
      <c r="Y42" s="570"/>
      <c r="Z42" s="570"/>
      <c r="AA42" s="570"/>
      <c r="AB42" s="571"/>
      <c r="AD42" s="569"/>
      <c r="AE42" s="570"/>
      <c r="AF42" s="570"/>
      <c r="AG42" s="570"/>
      <c r="AH42" s="570"/>
      <c r="AI42" s="570"/>
      <c r="AJ42" s="570"/>
      <c r="AK42" s="570"/>
      <c r="AL42" s="570"/>
      <c r="AM42" s="570"/>
      <c r="AN42" s="571"/>
    </row>
    <row r="43" spans="1:40" ht="20.100000000000001" customHeight="1">
      <c r="A43" s="163" t="s">
        <v>27</v>
      </c>
      <c r="B43" s="283" t="s">
        <v>22</v>
      </c>
      <c r="C43" s="248" t="s">
        <v>23</v>
      </c>
      <c r="D43" s="19"/>
      <c r="E43" s="530" t="s">
        <v>23</v>
      </c>
      <c r="F43" s="531" t="s">
        <v>27</v>
      </c>
      <c r="G43" s="532" t="s">
        <v>22</v>
      </c>
      <c r="H43" s="533" t="s">
        <v>1233</v>
      </c>
      <c r="I43" s="534" t="s">
        <v>1234</v>
      </c>
      <c r="K43" s="217" t="s">
        <v>364</v>
      </c>
      <c r="L43" s="218" t="s">
        <v>516</v>
      </c>
      <c r="M43" s="219" t="s">
        <v>965</v>
      </c>
      <c r="O43" s="206" t="s">
        <v>625</v>
      </c>
      <c r="P43" s="176" t="s">
        <v>754</v>
      </c>
      <c r="R43" s="569"/>
      <c r="S43" s="570"/>
      <c r="T43" s="570"/>
      <c r="U43" s="570" t="s">
        <v>34</v>
      </c>
      <c r="V43" s="570"/>
      <c r="W43" s="570"/>
      <c r="X43" s="570"/>
      <c r="Y43" s="570"/>
      <c r="Z43" s="570"/>
      <c r="AA43" s="570"/>
      <c r="AB43" s="571"/>
      <c r="AD43" s="569"/>
      <c r="AE43" s="570"/>
      <c r="AF43" s="570"/>
      <c r="AG43" s="570"/>
      <c r="AH43" s="570"/>
      <c r="AI43" s="570"/>
      <c r="AJ43" s="570"/>
      <c r="AK43" s="570"/>
      <c r="AL43" s="570"/>
      <c r="AM43" s="570"/>
      <c r="AN43" s="571"/>
    </row>
    <row r="44" spans="1:40" ht="20.100000000000001" customHeight="1" thickBot="1">
      <c r="A44" s="162" t="s">
        <v>213</v>
      </c>
      <c r="B44" s="281" t="s">
        <v>22</v>
      </c>
      <c r="C44" s="256" t="s">
        <v>23</v>
      </c>
      <c r="D44" s="19"/>
      <c r="E44" s="520" t="s">
        <v>23</v>
      </c>
      <c r="F44" s="521" t="s">
        <v>213</v>
      </c>
      <c r="G44" s="522" t="s">
        <v>22</v>
      </c>
      <c r="H44" s="523" t="s">
        <v>1235</v>
      </c>
      <c r="I44" s="524" t="s">
        <v>1236</v>
      </c>
      <c r="K44" s="217" t="s">
        <v>365</v>
      </c>
      <c r="L44" s="218" t="s">
        <v>516</v>
      </c>
      <c r="M44" s="219" t="s">
        <v>966</v>
      </c>
      <c r="O44" s="206" t="s">
        <v>626</v>
      </c>
      <c r="P44" s="176" t="s">
        <v>753</v>
      </c>
      <c r="R44" s="569"/>
      <c r="S44" s="570"/>
      <c r="T44" s="570"/>
      <c r="U44" s="570" t="s">
        <v>35</v>
      </c>
      <c r="V44" s="570"/>
      <c r="W44" s="570"/>
      <c r="X44" s="570"/>
      <c r="Y44" s="570"/>
      <c r="Z44" s="570"/>
      <c r="AA44" s="570"/>
      <c r="AB44" s="571"/>
      <c r="AD44" s="569"/>
      <c r="AE44" s="570"/>
      <c r="AF44" s="570"/>
      <c r="AG44" s="570"/>
      <c r="AH44" s="570"/>
      <c r="AI44" s="570"/>
      <c r="AJ44" s="570"/>
      <c r="AK44" s="570"/>
      <c r="AL44" s="570"/>
      <c r="AM44" s="570"/>
      <c r="AN44" s="571"/>
    </row>
    <row r="45" spans="1:40" ht="20.100000000000001" customHeight="1" thickBot="1">
      <c r="A45" s="161" t="s">
        <v>177</v>
      </c>
      <c r="B45" s="280" t="s">
        <v>86</v>
      </c>
      <c r="C45" s="255" t="s">
        <v>214</v>
      </c>
      <c r="D45" s="19"/>
      <c r="E45" s="530" t="s">
        <v>214</v>
      </c>
      <c r="F45" s="531" t="s">
        <v>177</v>
      </c>
      <c r="G45" s="532" t="s">
        <v>86</v>
      </c>
      <c r="H45" s="533" t="s">
        <v>1237</v>
      </c>
      <c r="I45" s="534" t="s">
        <v>1238</v>
      </c>
      <c r="K45" s="217" t="s">
        <v>366</v>
      </c>
      <c r="L45" s="218" t="s">
        <v>516</v>
      </c>
      <c r="M45" s="219" t="s">
        <v>967</v>
      </c>
      <c r="O45" s="206" t="s">
        <v>627</v>
      </c>
      <c r="P45" s="176" t="s">
        <v>752</v>
      </c>
      <c r="R45" s="569"/>
      <c r="S45" s="570"/>
      <c r="T45" s="570"/>
      <c r="U45" s="570" t="s">
        <v>36</v>
      </c>
      <c r="V45" s="570"/>
      <c r="W45" s="570"/>
      <c r="X45" s="570"/>
      <c r="Y45" s="570"/>
      <c r="Z45" s="570"/>
      <c r="AA45" s="570"/>
      <c r="AB45" s="571"/>
      <c r="AD45" s="569"/>
      <c r="AE45" s="570"/>
      <c r="AF45" s="570"/>
      <c r="AG45" s="570"/>
      <c r="AH45" s="570"/>
      <c r="AI45" s="570"/>
      <c r="AJ45" s="570"/>
      <c r="AK45" s="570"/>
      <c r="AL45" s="570"/>
      <c r="AM45" s="570"/>
      <c r="AN45" s="571"/>
    </row>
    <row r="46" spans="1:40" ht="20.100000000000001" customHeight="1">
      <c r="A46" s="161" t="s">
        <v>215</v>
      </c>
      <c r="B46" s="280" t="s">
        <v>86</v>
      </c>
      <c r="C46" s="255" t="s">
        <v>214</v>
      </c>
      <c r="D46" s="19"/>
      <c r="E46" s="530" t="s">
        <v>214</v>
      </c>
      <c r="F46" s="531" t="s">
        <v>215</v>
      </c>
      <c r="G46" s="532" t="s">
        <v>86</v>
      </c>
      <c r="H46" s="533" t="s">
        <v>1239</v>
      </c>
      <c r="I46" s="534" t="s">
        <v>1240</v>
      </c>
      <c r="K46" s="217" t="s">
        <v>367</v>
      </c>
      <c r="L46" s="218" t="s">
        <v>516</v>
      </c>
      <c r="M46" s="219" t="s">
        <v>968</v>
      </c>
      <c r="O46" s="206"/>
      <c r="P46" s="175" t="s">
        <v>560</v>
      </c>
      <c r="R46" s="569"/>
      <c r="S46" s="570"/>
      <c r="T46" s="570"/>
      <c r="U46" s="570" t="s">
        <v>37</v>
      </c>
      <c r="V46" s="570"/>
      <c r="W46" s="570"/>
      <c r="X46" s="570"/>
      <c r="Y46" s="570"/>
      <c r="Z46" s="570"/>
      <c r="AA46" s="570"/>
      <c r="AB46" s="571"/>
      <c r="AD46" s="569"/>
      <c r="AE46" s="570"/>
      <c r="AF46" s="570"/>
      <c r="AG46" s="570"/>
      <c r="AH46" s="570"/>
      <c r="AI46" s="570"/>
      <c r="AJ46" s="570"/>
      <c r="AK46" s="570"/>
      <c r="AL46" s="570"/>
      <c r="AM46" s="570"/>
      <c r="AN46" s="571"/>
    </row>
    <row r="47" spans="1:40" ht="20.100000000000001" customHeight="1">
      <c r="A47" s="163" t="s">
        <v>87</v>
      </c>
      <c r="B47" s="283" t="s">
        <v>86</v>
      </c>
      <c r="C47" s="248" t="s">
        <v>214</v>
      </c>
      <c r="D47" s="19"/>
      <c r="E47" s="530" t="s">
        <v>214</v>
      </c>
      <c r="F47" s="531" t="s">
        <v>87</v>
      </c>
      <c r="G47" s="532" t="s">
        <v>86</v>
      </c>
      <c r="H47" s="533" t="s">
        <v>1241</v>
      </c>
      <c r="I47" s="534" t="s">
        <v>1242</v>
      </c>
      <c r="K47" s="217" t="s">
        <v>368</v>
      </c>
      <c r="L47" s="218" t="s">
        <v>516</v>
      </c>
      <c r="M47" s="219" t="s">
        <v>969</v>
      </c>
      <c r="O47" s="206" t="s">
        <v>816</v>
      </c>
      <c r="P47" s="176" t="s">
        <v>751</v>
      </c>
      <c r="R47" s="569"/>
      <c r="S47" s="570"/>
      <c r="T47" s="570"/>
      <c r="U47" s="570" t="s">
        <v>1038</v>
      </c>
      <c r="V47" s="570"/>
      <c r="W47" s="570"/>
      <c r="X47" s="570"/>
      <c r="Y47" s="570"/>
      <c r="Z47" s="570"/>
      <c r="AA47" s="570"/>
      <c r="AB47" s="571"/>
      <c r="AD47" s="569"/>
      <c r="AE47" s="570"/>
      <c r="AF47" s="570"/>
      <c r="AG47" s="570"/>
      <c r="AH47" s="570"/>
      <c r="AI47" s="570"/>
      <c r="AJ47" s="570"/>
      <c r="AK47" s="570"/>
      <c r="AL47" s="570"/>
      <c r="AM47" s="570"/>
      <c r="AN47" s="571"/>
    </row>
    <row r="48" spans="1:40" ht="20.100000000000001" customHeight="1">
      <c r="A48" s="163" t="s">
        <v>88</v>
      </c>
      <c r="B48" s="283" t="s">
        <v>86</v>
      </c>
      <c r="C48" s="248" t="s">
        <v>214</v>
      </c>
      <c r="D48" s="19"/>
      <c r="E48" s="530" t="s">
        <v>214</v>
      </c>
      <c r="F48" s="531" t="s">
        <v>88</v>
      </c>
      <c r="G48" s="532" t="s">
        <v>86</v>
      </c>
      <c r="H48" s="533" t="s">
        <v>1243</v>
      </c>
      <c r="I48" s="534" t="s">
        <v>1244</v>
      </c>
      <c r="K48" s="217" t="s">
        <v>369</v>
      </c>
      <c r="L48" s="218" t="s">
        <v>516</v>
      </c>
      <c r="M48" s="219" t="s">
        <v>970</v>
      </c>
      <c r="O48" s="206"/>
      <c r="P48" s="175" t="s">
        <v>561</v>
      </c>
      <c r="R48" s="569"/>
      <c r="S48" s="570"/>
      <c r="T48" s="570"/>
      <c r="U48" s="570" t="s">
        <v>38</v>
      </c>
      <c r="V48" s="570"/>
      <c r="W48" s="570"/>
      <c r="X48" s="570"/>
      <c r="Y48" s="570"/>
      <c r="Z48" s="570"/>
      <c r="AA48" s="570"/>
      <c r="AB48" s="571"/>
      <c r="AD48" s="569"/>
      <c r="AE48" s="570"/>
      <c r="AF48" s="570"/>
      <c r="AG48" s="570"/>
      <c r="AH48" s="570"/>
      <c r="AI48" s="570"/>
      <c r="AJ48" s="570"/>
      <c r="AK48" s="570"/>
      <c r="AL48" s="570"/>
      <c r="AM48" s="570"/>
      <c r="AN48" s="571"/>
    </row>
    <row r="49" spans="1:40" ht="20.100000000000001" customHeight="1" thickBot="1">
      <c r="A49" s="162" t="s">
        <v>263</v>
      </c>
      <c r="B49" s="281" t="s">
        <v>86</v>
      </c>
      <c r="C49" s="256" t="s">
        <v>214</v>
      </c>
      <c r="D49" s="19"/>
      <c r="E49" s="520" t="s">
        <v>214</v>
      </c>
      <c r="F49" s="521" t="s">
        <v>263</v>
      </c>
      <c r="G49" s="522" t="s">
        <v>86</v>
      </c>
      <c r="H49" s="523" t="s">
        <v>1245</v>
      </c>
      <c r="I49" s="524" t="s">
        <v>1246</v>
      </c>
      <c r="K49" s="217" t="s">
        <v>370</v>
      </c>
      <c r="L49" s="218" t="s">
        <v>516</v>
      </c>
      <c r="M49" s="219" t="s">
        <v>971</v>
      </c>
      <c r="O49" s="206" t="s">
        <v>628</v>
      </c>
      <c r="P49" s="176" t="s">
        <v>750</v>
      </c>
      <c r="R49" s="569"/>
      <c r="S49" s="570"/>
      <c r="T49" s="570"/>
      <c r="U49" s="570" t="s">
        <v>39</v>
      </c>
      <c r="V49" s="570"/>
      <c r="W49" s="570"/>
      <c r="X49" s="570"/>
      <c r="Y49" s="570"/>
      <c r="Z49" s="570"/>
      <c r="AA49" s="570"/>
      <c r="AB49" s="571"/>
      <c r="AD49" s="569"/>
      <c r="AE49" s="570"/>
      <c r="AF49" s="570"/>
      <c r="AG49" s="570"/>
      <c r="AH49" s="570"/>
      <c r="AI49" s="570"/>
      <c r="AJ49" s="570"/>
      <c r="AK49" s="570"/>
      <c r="AL49" s="570"/>
      <c r="AM49" s="570"/>
      <c r="AN49" s="571"/>
    </row>
    <row r="50" spans="1:40" ht="20.100000000000001" customHeight="1" thickBot="1">
      <c r="A50" s="161" t="s">
        <v>1009</v>
      </c>
      <c r="B50" s="280" t="s">
        <v>86</v>
      </c>
      <c r="C50" s="255" t="s">
        <v>216</v>
      </c>
      <c r="D50" s="19"/>
      <c r="E50" s="530" t="s">
        <v>216</v>
      </c>
      <c r="F50" s="531" t="s">
        <v>1009</v>
      </c>
      <c r="G50" s="532" t="s">
        <v>86</v>
      </c>
      <c r="H50" s="533" t="s">
        <v>1247</v>
      </c>
      <c r="I50" s="534" t="s">
        <v>1248</v>
      </c>
      <c r="K50" s="217" t="s">
        <v>371</v>
      </c>
      <c r="L50" s="218" t="s">
        <v>516</v>
      </c>
      <c r="M50" s="219" t="s">
        <v>972</v>
      </c>
      <c r="O50" s="206" t="s">
        <v>629</v>
      </c>
      <c r="P50" s="176" t="s">
        <v>749</v>
      </c>
      <c r="R50" s="569"/>
      <c r="S50" s="570"/>
      <c r="T50" s="570"/>
      <c r="U50" s="570" t="s">
        <v>40</v>
      </c>
      <c r="V50" s="570"/>
      <c r="W50" s="570"/>
      <c r="X50" s="570"/>
      <c r="Y50" s="570"/>
      <c r="Z50" s="570"/>
      <c r="AA50" s="570"/>
      <c r="AB50" s="571"/>
      <c r="AD50" s="569"/>
      <c r="AE50" s="570"/>
      <c r="AF50" s="570"/>
      <c r="AG50" s="570"/>
      <c r="AH50" s="570"/>
      <c r="AI50" s="570"/>
      <c r="AJ50" s="570"/>
      <c r="AK50" s="570"/>
      <c r="AL50" s="570"/>
      <c r="AM50" s="570"/>
      <c r="AN50" s="571"/>
    </row>
    <row r="51" spans="1:40" ht="20.100000000000001" customHeight="1">
      <c r="A51" s="161" t="s">
        <v>1007</v>
      </c>
      <c r="B51" s="280" t="s">
        <v>86</v>
      </c>
      <c r="C51" s="255" t="s">
        <v>216</v>
      </c>
      <c r="D51" s="19"/>
      <c r="E51" s="530" t="s">
        <v>216</v>
      </c>
      <c r="F51" s="531" t="s">
        <v>1007</v>
      </c>
      <c r="G51" s="532" t="s">
        <v>86</v>
      </c>
      <c r="H51" s="533" t="s">
        <v>1249</v>
      </c>
      <c r="I51" s="534" t="s">
        <v>1250</v>
      </c>
      <c r="K51" s="217" t="s">
        <v>372</v>
      </c>
      <c r="L51" s="218" t="s">
        <v>516</v>
      </c>
      <c r="M51" s="219" t="s">
        <v>973</v>
      </c>
      <c r="O51" s="206" t="s">
        <v>630</v>
      </c>
      <c r="P51" s="176" t="s">
        <v>748</v>
      </c>
      <c r="R51" s="569"/>
      <c r="S51" s="570"/>
      <c r="T51" s="570"/>
      <c r="U51" s="570" t="s">
        <v>41</v>
      </c>
      <c r="V51" s="570"/>
      <c r="W51" s="570"/>
      <c r="X51" s="570"/>
      <c r="Y51" s="570"/>
      <c r="Z51" s="570"/>
      <c r="AA51" s="570"/>
      <c r="AB51" s="571"/>
      <c r="AD51" s="569"/>
      <c r="AE51" s="570"/>
      <c r="AF51" s="570"/>
      <c r="AG51" s="570"/>
      <c r="AH51" s="570"/>
      <c r="AI51" s="570"/>
      <c r="AJ51" s="570"/>
      <c r="AK51" s="570"/>
      <c r="AL51" s="570"/>
      <c r="AM51" s="570"/>
      <c r="AN51" s="571"/>
    </row>
    <row r="52" spans="1:40" ht="20.100000000000001" customHeight="1">
      <c r="A52" s="163" t="s">
        <v>1008</v>
      </c>
      <c r="B52" s="283" t="s">
        <v>86</v>
      </c>
      <c r="C52" s="248" t="s">
        <v>216</v>
      </c>
      <c r="D52" s="19"/>
      <c r="E52" s="530" t="s">
        <v>216</v>
      </c>
      <c r="F52" s="531" t="s">
        <v>1008</v>
      </c>
      <c r="G52" s="532" t="s">
        <v>86</v>
      </c>
      <c r="H52" s="533" t="s">
        <v>1251</v>
      </c>
      <c r="I52" s="534" t="s">
        <v>1252</v>
      </c>
      <c r="K52" s="217" t="s">
        <v>960</v>
      </c>
      <c r="L52" s="218" t="s">
        <v>516</v>
      </c>
      <c r="M52" s="219" t="s">
        <v>974</v>
      </c>
      <c r="O52" s="206"/>
      <c r="P52" s="174" t="s">
        <v>562</v>
      </c>
      <c r="R52" s="569"/>
      <c r="S52" s="570"/>
      <c r="T52" s="570"/>
      <c r="U52" s="570" t="s">
        <v>42</v>
      </c>
      <c r="V52" s="570"/>
      <c r="W52" s="570"/>
      <c r="X52" s="570"/>
      <c r="Y52" s="570"/>
      <c r="Z52" s="570"/>
      <c r="AA52" s="570"/>
      <c r="AB52" s="571"/>
      <c r="AD52" s="569"/>
      <c r="AE52" s="570"/>
      <c r="AF52" s="570"/>
      <c r="AG52" s="570"/>
      <c r="AH52" s="570"/>
      <c r="AI52" s="570"/>
      <c r="AJ52" s="570"/>
      <c r="AK52" s="570"/>
      <c r="AL52" s="570"/>
      <c r="AM52" s="570"/>
      <c r="AN52" s="571"/>
    </row>
    <row r="53" spans="1:40" ht="20.100000000000001" customHeight="1" thickBot="1">
      <c r="A53" s="163" t="s">
        <v>89</v>
      </c>
      <c r="B53" s="283" t="s">
        <v>86</v>
      </c>
      <c r="C53" s="248" t="s">
        <v>216</v>
      </c>
      <c r="D53" s="19"/>
      <c r="E53" s="530" t="s">
        <v>216</v>
      </c>
      <c r="F53" s="531" t="s">
        <v>89</v>
      </c>
      <c r="G53" s="532" t="s">
        <v>86</v>
      </c>
      <c r="H53" s="533" t="s">
        <v>1253</v>
      </c>
      <c r="I53" s="534" t="s">
        <v>1254</v>
      </c>
      <c r="K53" s="226" t="s">
        <v>961</v>
      </c>
      <c r="L53" s="227" t="s">
        <v>516</v>
      </c>
      <c r="M53" s="228" t="s">
        <v>975</v>
      </c>
      <c r="O53" s="206"/>
      <c r="P53" s="175" t="s">
        <v>563</v>
      </c>
      <c r="R53" s="569"/>
      <c r="S53" s="570"/>
      <c r="T53" s="570"/>
      <c r="U53" s="570" t="s">
        <v>43</v>
      </c>
      <c r="V53" s="570"/>
      <c r="W53" s="570"/>
      <c r="X53" s="570"/>
      <c r="Y53" s="570"/>
      <c r="Z53" s="570"/>
      <c r="AA53" s="570"/>
      <c r="AB53" s="571"/>
      <c r="AD53" s="569"/>
      <c r="AE53" s="570"/>
      <c r="AF53" s="570"/>
      <c r="AG53" s="570"/>
      <c r="AH53" s="570"/>
      <c r="AI53" s="570"/>
      <c r="AJ53" s="570"/>
      <c r="AK53" s="570"/>
      <c r="AL53" s="570"/>
      <c r="AM53" s="570"/>
      <c r="AN53" s="571"/>
    </row>
    <row r="54" spans="1:40" ht="20.100000000000001" customHeight="1">
      <c r="A54" s="163" t="s">
        <v>1010</v>
      </c>
      <c r="B54" s="283" t="s">
        <v>86</v>
      </c>
      <c r="C54" s="248" t="s">
        <v>216</v>
      </c>
      <c r="D54" s="19"/>
      <c r="E54" s="530" t="s">
        <v>216</v>
      </c>
      <c r="F54" s="531" t="s">
        <v>1010</v>
      </c>
      <c r="G54" s="532" t="s">
        <v>86</v>
      </c>
      <c r="H54" s="533" t="s">
        <v>1255</v>
      </c>
      <c r="I54" s="534" t="s">
        <v>1256</v>
      </c>
      <c r="K54" s="214" t="s">
        <v>373</v>
      </c>
      <c r="L54" s="215" t="s">
        <v>517</v>
      </c>
      <c r="M54" s="216" t="s">
        <v>374</v>
      </c>
      <c r="O54" s="206" t="s">
        <v>631</v>
      </c>
      <c r="P54" s="176" t="s">
        <v>817</v>
      </c>
      <c r="R54" s="569"/>
      <c r="S54" s="570"/>
      <c r="T54" s="570"/>
      <c r="U54" s="570" t="s">
        <v>44</v>
      </c>
      <c r="V54" s="570"/>
      <c r="W54" s="570"/>
      <c r="X54" s="570"/>
      <c r="Y54" s="570"/>
      <c r="Z54" s="570"/>
      <c r="AA54" s="570"/>
      <c r="AB54" s="571"/>
      <c r="AD54" s="569"/>
      <c r="AE54" s="570"/>
      <c r="AF54" s="570"/>
      <c r="AG54" s="570"/>
      <c r="AH54" s="570"/>
      <c r="AI54" s="570"/>
      <c r="AJ54" s="570"/>
      <c r="AK54" s="570"/>
      <c r="AL54" s="570"/>
      <c r="AM54" s="570"/>
      <c r="AN54" s="571"/>
    </row>
    <row r="55" spans="1:40" ht="20.100000000000001" customHeight="1" thickBot="1">
      <c r="A55" s="333" t="s">
        <v>264</v>
      </c>
      <c r="B55" s="283" t="s">
        <v>86</v>
      </c>
      <c r="C55" s="248" t="s">
        <v>216</v>
      </c>
      <c r="D55" s="19"/>
      <c r="E55" s="530" t="s">
        <v>216</v>
      </c>
      <c r="F55" s="531" t="s">
        <v>264</v>
      </c>
      <c r="G55" s="532" t="s">
        <v>86</v>
      </c>
      <c r="H55" s="533" t="s">
        <v>1257</v>
      </c>
      <c r="I55" s="534" t="s">
        <v>1258</v>
      </c>
      <c r="K55" s="220" t="s">
        <v>375</v>
      </c>
      <c r="L55" s="221" t="s">
        <v>517</v>
      </c>
      <c r="M55" s="222" t="s">
        <v>882</v>
      </c>
      <c r="O55" s="206" t="s">
        <v>632</v>
      </c>
      <c r="P55" s="176" t="s">
        <v>747</v>
      </c>
      <c r="R55" s="569"/>
      <c r="S55" s="570"/>
      <c r="T55" s="570"/>
      <c r="U55" s="570" t="s">
        <v>45</v>
      </c>
      <c r="V55" s="570"/>
      <c r="W55" s="570"/>
      <c r="X55" s="570"/>
      <c r="Y55" s="570"/>
      <c r="Z55" s="570"/>
      <c r="AA55" s="570"/>
      <c r="AB55" s="571"/>
      <c r="AD55" s="569"/>
      <c r="AE55" s="570"/>
      <c r="AF55" s="570"/>
      <c r="AG55" s="570"/>
      <c r="AH55" s="570"/>
      <c r="AI55" s="570"/>
      <c r="AJ55" s="570"/>
      <c r="AK55" s="570"/>
      <c r="AL55" s="570"/>
      <c r="AM55" s="570"/>
      <c r="AN55" s="571"/>
    </row>
    <row r="56" spans="1:40" ht="20.100000000000001" customHeight="1" thickBot="1">
      <c r="A56" s="334" t="s">
        <v>90</v>
      </c>
      <c r="B56" s="281" t="s">
        <v>86</v>
      </c>
      <c r="C56" s="256" t="s">
        <v>216</v>
      </c>
      <c r="D56" s="19"/>
      <c r="E56" s="520" t="s">
        <v>216</v>
      </c>
      <c r="F56" s="521" t="s">
        <v>90</v>
      </c>
      <c r="G56" s="522" t="s">
        <v>86</v>
      </c>
      <c r="H56" s="523" t="s">
        <v>1259</v>
      </c>
      <c r="I56" s="524" t="s">
        <v>1260</v>
      </c>
      <c r="K56" s="229" t="s">
        <v>376</v>
      </c>
      <c r="L56" s="230" t="s">
        <v>377</v>
      </c>
      <c r="M56" s="231" t="s">
        <v>377</v>
      </c>
      <c r="O56" s="206" t="s">
        <v>633</v>
      </c>
      <c r="P56" s="176" t="s">
        <v>746</v>
      </c>
      <c r="R56" s="569"/>
      <c r="S56" s="570"/>
      <c r="T56" s="570"/>
      <c r="U56" s="570" t="s">
        <v>46</v>
      </c>
      <c r="V56" s="570"/>
      <c r="W56" s="570"/>
      <c r="X56" s="570"/>
      <c r="Y56" s="570"/>
      <c r="Z56" s="570"/>
      <c r="AA56" s="570"/>
      <c r="AB56" s="571"/>
      <c r="AD56" s="569"/>
      <c r="AE56" s="570"/>
      <c r="AF56" s="570"/>
      <c r="AG56" s="570"/>
      <c r="AH56" s="570"/>
      <c r="AI56" s="570"/>
      <c r="AJ56" s="570"/>
      <c r="AK56" s="570"/>
      <c r="AL56" s="570"/>
      <c r="AM56" s="570"/>
      <c r="AN56" s="571"/>
    </row>
    <row r="57" spans="1:40" ht="20.100000000000001" customHeight="1" thickBot="1">
      <c r="A57" s="335" t="s">
        <v>1011</v>
      </c>
      <c r="B57" s="280" t="s">
        <v>67</v>
      </c>
      <c r="C57" s="255" t="s">
        <v>68</v>
      </c>
      <c r="D57" s="19"/>
      <c r="E57" s="530" t="s">
        <v>68</v>
      </c>
      <c r="F57" s="531" t="s">
        <v>1011</v>
      </c>
      <c r="G57" s="532" t="s">
        <v>67</v>
      </c>
      <c r="H57" s="533" t="s">
        <v>1261</v>
      </c>
      <c r="I57" s="534">
        <v>13001</v>
      </c>
      <c r="K57" s="214" t="s">
        <v>378</v>
      </c>
      <c r="L57" s="215" t="s">
        <v>518</v>
      </c>
      <c r="M57" s="216" t="s">
        <v>379</v>
      </c>
      <c r="O57" s="206" t="s">
        <v>634</v>
      </c>
      <c r="P57" s="176" t="s">
        <v>745</v>
      </c>
      <c r="R57" s="569"/>
      <c r="S57" s="570"/>
      <c r="T57" s="570"/>
      <c r="U57" s="570" t="s">
        <v>47</v>
      </c>
      <c r="V57" s="570"/>
      <c r="W57" s="570"/>
      <c r="X57" s="570"/>
      <c r="Y57" s="570"/>
      <c r="Z57" s="570"/>
      <c r="AA57" s="570"/>
      <c r="AB57" s="571"/>
      <c r="AD57" s="569"/>
      <c r="AE57" s="570"/>
      <c r="AF57" s="570"/>
      <c r="AG57" s="570"/>
      <c r="AH57" s="570"/>
      <c r="AI57" s="570"/>
      <c r="AJ57" s="570"/>
      <c r="AK57" s="570"/>
      <c r="AL57" s="570"/>
      <c r="AM57" s="570"/>
      <c r="AN57" s="571"/>
    </row>
    <row r="58" spans="1:40" ht="20.100000000000001" customHeight="1">
      <c r="A58" s="335" t="s">
        <v>1012</v>
      </c>
      <c r="B58" s="280" t="s">
        <v>67</v>
      </c>
      <c r="C58" s="255" t="s">
        <v>68</v>
      </c>
      <c r="D58" s="19"/>
      <c r="E58" s="530" t="s">
        <v>68</v>
      </c>
      <c r="F58" s="531" t="s">
        <v>1012</v>
      </c>
      <c r="G58" s="532" t="s">
        <v>67</v>
      </c>
      <c r="H58" s="533" t="s">
        <v>1262</v>
      </c>
      <c r="I58" s="534">
        <v>13002</v>
      </c>
      <c r="K58" s="217" t="s">
        <v>380</v>
      </c>
      <c r="L58" s="218" t="s">
        <v>518</v>
      </c>
      <c r="M58" s="219" t="s">
        <v>381</v>
      </c>
      <c r="O58" s="206"/>
      <c r="P58" s="175" t="s">
        <v>564</v>
      </c>
      <c r="R58" s="569"/>
      <c r="S58" s="570"/>
      <c r="T58" s="570"/>
      <c r="U58" s="570" t="s">
        <v>48</v>
      </c>
      <c r="V58" s="570"/>
      <c r="W58" s="570"/>
      <c r="X58" s="570"/>
      <c r="Y58" s="570"/>
      <c r="Z58" s="570"/>
      <c r="AA58" s="570"/>
      <c r="AB58" s="571"/>
      <c r="AD58" s="569"/>
      <c r="AE58" s="570"/>
      <c r="AF58" s="570"/>
      <c r="AG58" s="570"/>
      <c r="AH58" s="570"/>
      <c r="AI58" s="570"/>
      <c r="AJ58" s="570"/>
      <c r="AK58" s="570"/>
      <c r="AL58" s="570"/>
      <c r="AM58" s="570"/>
      <c r="AN58" s="571"/>
    </row>
    <row r="59" spans="1:40" ht="20.100000000000001" customHeight="1">
      <c r="A59" s="163" t="s">
        <v>930</v>
      </c>
      <c r="B59" s="283" t="s">
        <v>67</v>
      </c>
      <c r="C59" s="248" t="s">
        <v>68</v>
      </c>
      <c r="D59" s="19"/>
      <c r="E59" s="530" t="s">
        <v>68</v>
      </c>
      <c r="F59" s="531" t="s">
        <v>930</v>
      </c>
      <c r="G59" s="532" t="s">
        <v>67</v>
      </c>
      <c r="H59" s="533" t="s">
        <v>1263</v>
      </c>
      <c r="I59" s="534">
        <v>13003</v>
      </c>
      <c r="K59" s="217" t="s">
        <v>382</v>
      </c>
      <c r="L59" s="218" t="s">
        <v>518</v>
      </c>
      <c r="M59" s="219" t="s">
        <v>383</v>
      </c>
      <c r="O59" s="206" t="s">
        <v>635</v>
      </c>
      <c r="P59" s="176" t="s">
        <v>818</v>
      </c>
      <c r="R59" s="569"/>
      <c r="S59" s="570"/>
      <c r="T59" s="570"/>
      <c r="U59" s="570" t="s">
        <v>49</v>
      </c>
      <c r="V59" s="570"/>
      <c r="W59" s="570"/>
      <c r="X59" s="570"/>
      <c r="Y59" s="570"/>
      <c r="Z59" s="570"/>
      <c r="AA59" s="570"/>
      <c r="AB59" s="571"/>
      <c r="AD59" s="569"/>
      <c r="AE59" s="570"/>
      <c r="AF59" s="570"/>
      <c r="AG59" s="570"/>
      <c r="AH59" s="570"/>
      <c r="AI59" s="570"/>
      <c r="AJ59" s="570"/>
      <c r="AK59" s="570"/>
      <c r="AL59" s="570"/>
      <c r="AM59" s="570"/>
      <c r="AN59" s="571"/>
    </row>
    <row r="60" spans="1:40" ht="20.100000000000001" customHeight="1" thickBot="1">
      <c r="A60" s="163" t="s">
        <v>217</v>
      </c>
      <c r="B60" s="283" t="s">
        <v>67</v>
      </c>
      <c r="C60" s="248" t="s">
        <v>68</v>
      </c>
      <c r="D60" s="19"/>
      <c r="E60" s="530" t="s">
        <v>68</v>
      </c>
      <c r="F60" s="531" t="s">
        <v>217</v>
      </c>
      <c r="G60" s="532" t="s">
        <v>67</v>
      </c>
      <c r="H60" s="533" t="s">
        <v>1264</v>
      </c>
      <c r="I60" s="534">
        <v>13004</v>
      </c>
      <c r="K60" s="220" t="s">
        <v>883</v>
      </c>
      <c r="L60" s="221" t="s">
        <v>518</v>
      </c>
      <c r="M60" s="222" t="s">
        <v>986</v>
      </c>
      <c r="O60" s="206"/>
      <c r="P60" s="175" t="s">
        <v>565</v>
      </c>
      <c r="R60" s="569"/>
      <c r="S60" s="570"/>
      <c r="T60" s="570"/>
      <c r="U60" s="570" t="s">
        <v>50</v>
      </c>
      <c r="V60" s="570"/>
      <c r="W60" s="570"/>
      <c r="X60" s="570"/>
      <c r="Y60" s="570"/>
      <c r="Z60" s="570"/>
      <c r="AA60" s="570"/>
      <c r="AB60" s="571"/>
      <c r="AD60" s="569"/>
      <c r="AE60" s="570"/>
      <c r="AF60" s="570"/>
      <c r="AG60" s="570"/>
      <c r="AH60" s="570"/>
      <c r="AI60" s="570"/>
      <c r="AJ60" s="570"/>
      <c r="AK60" s="570"/>
      <c r="AL60" s="570"/>
      <c r="AM60" s="570"/>
      <c r="AN60" s="571"/>
    </row>
    <row r="61" spans="1:40" ht="20.100000000000001" customHeight="1" thickBot="1">
      <c r="A61" s="163" t="s">
        <v>931</v>
      </c>
      <c r="B61" s="283" t="s">
        <v>67</v>
      </c>
      <c r="C61" s="248" t="s">
        <v>68</v>
      </c>
      <c r="D61" s="19"/>
      <c r="E61" s="530" t="s">
        <v>68</v>
      </c>
      <c r="F61" s="531" t="s">
        <v>931</v>
      </c>
      <c r="G61" s="532" t="s">
        <v>67</v>
      </c>
      <c r="H61" s="533" t="s">
        <v>1265</v>
      </c>
      <c r="I61" s="534">
        <v>13005</v>
      </c>
      <c r="K61" s="229" t="s">
        <v>384</v>
      </c>
      <c r="L61" s="230" t="s">
        <v>519</v>
      </c>
      <c r="M61" s="231" t="s">
        <v>385</v>
      </c>
      <c r="O61" s="206" t="s">
        <v>636</v>
      </c>
      <c r="P61" s="177" t="s">
        <v>819</v>
      </c>
      <c r="R61" s="569"/>
      <c r="S61" s="570"/>
      <c r="T61" s="570"/>
      <c r="U61" s="570" t="s">
        <v>51</v>
      </c>
      <c r="V61" s="570"/>
      <c r="W61" s="570"/>
      <c r="X61" s="570"/>
      <c r="Y61" s="570"/>
      <c r="Z61" s="570"/>
      <c r="AA61" s="570"/>
      <c r="AB61" s="571"/>
      <c r="AD61" s="569"/>
      <c r="AE61" s="570"/>
      <c r="AF61" s="570"/>
      <c r="AG61" s="570"/>
      <c r="AH61" s="570"/>
      <c r="AI61" s="570"/>
      <c r="AJ61" s="570"/>
      <c r="AK61" s="570"/>
      <c r="AL61" s="570"/>
      <c r="AM61" s="570"/>
      <c r="AN61" s="571"/>
    </row>
    <row r="62" spans="1:40" ht="20.100000000000001" customHeight="1" thickBot="1">
      <c r="A62" s="163" t="s">
        <v>69</v>
      </c>
      <c r="B62" s="283" t="s">
        <v>67</v>
      </c>
      <c r="C62" s="248" t="s">
        <v>68</v>
      </c>
      <c r="D62" s="19"/>
      <c r="E62" s="530" t="s">
        <v>68</v>
      </c>
      <c r="F62" s="531" t="s">
        <v>69</v>
      </c>
      <c r="G62" s="532" t="s">
        <v>67</v>
      </c>
      <c r="H62" s="533" t="s">
        <v>1266</v>
      </c>
      <c r="I62" s="534">
        <v>13006</v>
      </c>
      <c r="K62" s="229" t="s">
        <v>386</v>
      </c>
      <c r="L62" s="230" t="s">
        <v>520</v>
      </c>
      <c r="M62" s="231" t="s">
        <v>387</v>
      </c>
      <c r="O62" s="206" t="s">
        <v>820</v>
      </c>
      <c r="P62" s="177" t="s">
        <v>821</v>
      </c>
      <c r="R62" s="569"/>
      <c r="S62" s="570"/>
      <c r="T62" s="570"/>
      <c r="U62" s="570" t="s">
        <v>52</v>
      </c>
      <c r="V62" s="570"/>
      <c r="W62" s="570"/>
      <c r="X62" s="570"/>
      <c r="Y62" s="570"/>
      <c r="Z62" s="570"/>
      <c r="AA62" s="570"/>
      <c r="AB62" s="571"/>
      <c r="AD62" s="569"/>
      <c r="AE62" s="570"/>
      <c r="AF62" s="570"/>
      <c r="AG62" s="570"/>
      <c r="AH62" s="570"/>
      <c r="AI62" s="570"/>
      <c r="AJ62" s="570"/>
      <c r="AK62" s="570"/>
      <c r="AL62" s="570"/>
      <c r="AM62" s="570"/>
      <c r="AN62" s="571"/>
    </row>
    <row r="63" spans="1:40" ht="20.100000000000001" customHeight="1">
      <c r="A63" s="163" t="s">
        <v>932</v>
      </c>
      <c r="B63" s="283" t="s">
        <v>67</v>
      </c>
      <c r="C63" s="248" t="s">
        <v>68</v>
      </c>
      <c r="D63" s="19"/>
      <c r="E63" s="530" t="s">
        <v>68</v>
      </c>
      <c r="F63" s="531" t="s">
        <v>932</v>
      </c>
      <c r="G63" s="532" t="s">
        <v>67</v>
      </c>
      <c r="H63" s="533" t="s">
        <v>1267</v>
      </c>
      <c r="I63" s="534">
        <v>13007</v>
      </c>
      <c r="K63" s="214" t="s">
        <v>388</v>
      </c>
      <c r="L63" s="215" t="s">
        <v>521</v>
      </c>
      <c r="M63" s="216" t="s">
        <v>987</v>
      </c>
      <c r="O63" s="206" t="s">
        <v>977</v>
      </c>
      <c r="P63" s="177" t="s">
        <v>976</v>
      </c>
      <c r="R63" s="569"/>
      <c r="S63" s="570"/>
      <c r="T63" s="570"/>
      <c r="U63" s="570" t="s">
        <v>53</v>
      </c>
      <c r="V63" s="570"/>
      <c r="W63" s="570"/>
      <c r="X63" s="570"/>
      <c r="Y63" s="570"/>
      <c r="Z63" s="570"/>
      <c r="AA63" s="570"/>
      <c r="AB63" s="571"/>
      <c r="AD63" s="569"/>
      <c r="AE63" s="570"/>
      <c r="AF63" s="570"/>
      <c r="AG63" s="570"/>
      <c r="AH63" s="570"/>
      <c r="AI63" s="570"/>
      <c r="AJ63" s="570"/>
      <c r="AK63" s="570"/>
      <c r="AL63" s="570"/>
      <c r="AM63" s="570"/>
      <c r="AN63" s="571"/>
    </row>
    <row r="64" spans="1:40" ht="20.100000000000001" customHeight="1">
      <c r="A64" s="163" t="s">
        <v>171</v>
      </c>
      <c r="B64" s="283" t="s">
        <v>67</v>
      </c>
      <c r="C64" s="248" t="s">
        <v>68</v>
      </c>
      <c r="D64" s="19"/>
      <c r="E64" s="530" t="s">
        <v>68</v>
      </c>
      <c r="F64" s="531" t="s">
        <v>171</v>
      </c>
      <c r="G64" s="532" t="s">
        <v>67</v>
      </c>
      <c r="H64" s="533" t="s">
        <v>1268</v>
      </c>
      <c r="I64" s="534">
        <v>13008</v>
      </c>
      <c r="K64" s="217" t="s">
        <v>389</v>
      </c>
      <c r="L64" s="218" t="s">
        <v>522</v>
      </c>
      <c r="M64" s="219" t="s">
        <v>273</v>
      </c>
      <c r="O64" s="206"/>
      <c r="P64" s="175" t="s">
        <v>566</v>
      </c>
      <c r="R64" s="569"/>
      <c r="S64" s="570"/>
      <c r="T64" s="570"/>
      <c r="U64" s="570" t="s">
        <v>54</v>
      </c>
      <c r="V64" s="570"/>
      <c r="W64" s="570"/>
      <c r="X64" s="570"/>
      <c r="Y64" s="570"/>
      <c r="Z64" s="570"/>
      <c r="AA64" s="570"/>
      <c r="AB64" s="571"/>
      <c r="AD64" s="569"/>
      <c r="AE64" s="570"/>
      <c r="AF64" s="570"/>
      <c r="AG64" s="570"/>
      <c r="AH64" s="570"/>
      <c r="AI64" s="570"/>
      <c r="AJ64" s="570"/>
      <c r="AK64" s="570"/>
      <c r="AL64" s="570"/>
      <c r="AM64" s="570"/>
      <c r="AN64" s="571"/>
    </row>
    <row r="65" spans="1:40" ht="20.100000000000001" customHeight="1" thickBot="1">
      <c r="A65" s="252" t="s">
        <v>1136</v>
      </c>
      <c r="B65" s="279" t="s">
        <v>67</v>
      </c>
      <c r="C65" s="253" t="s">
        <v>68</v>
      </c>
      <c r="D65" s="19"/>
      <c r="E65" s="520" t="s">
        <v>68</v>
      </c>
      <c r="F65" s="243" t="s">
        <v>1136</v>
      </c>
      <c r="G65" s="522" t="s">
        <v>67</v>
      </c>
      <c r="H65" s="523" t="s">
        <v>1269</v>
      </c>
      <c r="I65" s="537">
        <v>13009</v>
      </c>
      <c r="K65" s="217" t="s">
        <v>390</v>
      </c>
      <c r="L65" s="218" t="s">
        <v>521</v>
      </c>
      <c r="M65" s="219" t="s">
        <v>884</v>
      </c>
      <c r="O65" s="206" t="s">
        <v>637</v>
      </c>
      <c r="P65" s="176" t="s">
        <v>744</v>
      </c>
      <c r="R65" s="569"/>
      <c r="S65" s="570"/>
      <c r="T65" s="570"/>
      <c r="U65" s="570" t="s">
        <v>55</v>
      </c>
      <c r="V65" s="570"/>
      <c r="W65" s="570"/>
      <c r="X65" s="570"/>
      <c r="Y65" s="570"/>
      <c r="Z65" s="570"/>
      <c r="AA65" s="570"/>
      <c r="AB65" s="571"/>
      <c r="AD65" s="569"/>
      <c r="AE65" s="570"/>
      <c r="AF65" s="570"/>
      <c r="AG65" s="570"/>
      <c r="AH65" s="570"/>
      <c r="AI65" s="570"/>
      <c r="AJ65" s="570"/>
      <c r="AK65" s="570"/>
      <c r="AL65" s="570"/>
      <c r="AM65" s="570"/>
      <c r="AN65" s="571"/>
    </row>
    <row r="66" spans="1:40" ht="20.100000000000001" customHeight="1">
      <c r="A66" s="161" t="s">
        <v>70</v>
      </c>
      <c r="B66" s="280" t="s">
        <v>71</v>
      </c>
      <c r="C66" s="255" t="s">
        <v>956</v>
      </c>
      <c r="D66" s="19"/>
      <c r="E66" s="515" t="s">
        <v>956</v>
      </c>
      <c r="F66" s="239" t="s">
        <v>70</v>
      </c>
      <c r="G66" s="517" t="s">
        <v>71</v>
      </c>
      <c r="H66" s="518" t="s">
        <v>1270</v>
      </c>
      <c r="I66" s="538" t="s">
        <v>1271</v>
      </c>
      <c r="K66" s="217" t="s">
        <v>391</v>
      </c>
      <c r="L66" s="218" t="s">
        <v>521</v>
      </c>
      <c r="M66" s="219" t="s">
        <v>392</v>
      </c>
      <c r="O66" s="206" t="s">
        <v>638</v>
      </c>
      <c r="P66" s="176" t="s">
        <v>743</v>
      </c>
      <c r="R66" s="569"/>
      <c r="S66" s="570"/>
      <c r="T66" s="570"/>
      <c r="U66" s="570" t="s">
        <v>56</v>
      </c>
      <c r="V66" s="570"/>
      <c r="W66" s="570"/>
      <c r="X66" s="570"/>
      <c r="Y66" s="570"/>
      <c r="Z66" s="570"/>
      <c r="AA66" s="570"/>
      <c r="AB66" s="571"/>
      <c r="AD66" s="569"/>
      <c r="AE66" s="570"/>
      <c r="AF66" s="570"/>
      <c r="AG66" s="570"/>
      <c r="AH66" s="570"/>
      <c r="AI66" s="570"/>
      <c r="AJ66" s="570"/>
      <c r="AK66" s="570"/>
      <c r="AL66" s="570"/>
      <c r="AM66" s="570"/>
      <c r="AN66" s="571"/>
    </row>
    <row r="67" spans="1:40" ht="20.100000000000001" customHeight="1">
      <c r="A67" s="163" t="s">
        <v>72</v>
      </c>
      <c r="B67" s="283" t="s">
        <v>71</v>
      </c>
      <c r="C67" s="248" t="s">
        <v>956</v>
      </c>
      <c r="D67" s="19"/>
      <c r="E67" s="530" t="s">
        <v>956</v>
      </c>
      <c r="F67" s="241" t="s">
        <v>72</v>
      </c>
      <c r="G67" s="532" t="s">
        <v>71</v>
      </c>
      <c r="H67" s="533" t="s">
        <v>1272</v>
      </c>
      <c r="I67" s="539" t="s">
        <v>1273</v>
      </c>
      <c r="K67" s="217" t="s">
        <v>393</v>
      </c>
      <c r="L67" s="218" t="s">
        <v>521</v>
      </c>
      <c r="M67" s="219" t="s">
        <v>394</v>
      </c>
      <c r="O67" s="206" t="s">
        <v>639</v>
      </c>
      <c r="P67" s="176" t="s">
        <v>742</v>
      </c>
      <c r="R67" s="569"/>
      <c r="S67" s="570"/>
      <c r="T67" s="570"/>
      <c r="U67" s="570" t="s">
        <v>57</v>
      </c>
      <c r="V67" s="570"/>
      <c r="W67" s="570"/>
      <c r="X67" s="570"/>
      <c r="Y67" s="570"/>
      <c r="Z67" s="570"/>
      <c r="AA67" s="570"/>
      <c r="AB67" s="571"/>
      <c r="AD67" s="569"/>
      <c r="AE67" s="570"/>
      <c r="AF67" s="570"/>
      <c r="AG67" s="570"/>
      <c r="AH67" s="570"/>
      <c r="AI67" s="570"/>
      <c r="AJ67" s="570"/>
      <c r="AK67" s="570"/>
      <c r="AL67" s="570"/>
      <c r="AM67" s="570"/>
      <c r="AN67" s="571"/>
    </row>
    <row r="68" spans="1:40" ht="20.100000000000001" customHeight="1">
      <c r="A68" s="249" t="s">
        <v>73</v>
      </c>
      <c r="B68" s="283" t="s">
        <v>71</v>
      </c>
      <c r="C68" s="248" t="s">
        <v>956</v>
      </c>
      <c r="D68" s="19"/>
      <c r="E68" s="530" t="s">
        <v>956</v>
      </c>
      <c r="F68" s="241" t="s">
        <v>73</v>
      </c>
      <c r="G68" s="532" t="s">
        <v>71</v>
      </c>
      <c r="H68" s="533" t="s">
        <v>1274</v>
      </c>
      <c r="I68" s="539" t="s">
        <v>1275</v>
      </c>
      <c r="K68" s="217" t="s">
        <v>395</v>
      </c>
      <c r="L68" s="218" t="s">
        <v>521</v>
      </c>
      <c r="M68" s="219" t="s">
        <v>396</v>
      </c>
      <c r="O68" s="206" t="s">
        <v>640</v>
      </c>
      <c r="P68" s="176" t="s">
        <v>741</v>
      </c>
      <c r="R68" s="569"/>
      <c r="S68" s="570"/>
      <c r="T68" s="570"/>
      <c r="U68" s="570" t="s">
        <v>58</v>
      </c>
      <c r="V68" s="570"/>
      <c r="W68" s="570"/>
      <c r="X68" s="570"/>
      <c r="Y68" s="570"/>
      <c r="Z68" s="570"/>
      <c r="AA68" s="570"/>
      <c r="AB68" s="571"/>
      <c r="AD68" s="569"/>
      <c r="AE68" s="570"/>
      <c r="AF68" s="570"/>
      <c r="AG68" s="570"/>
      <c r="AH68" s="570"/>
      <c r="AI68" s="570"/>
      <c r="AJ68" s="570"/>
      <c r="AK68" s="570"/>
      <c r="AL68" s="570"/>
      <c r="AM68" s="570"/>
      <c r="AN68" s="571"/>
    </row>
    <row r="69" spans="1:40" ht="20.100000000000001" customHeight="1">
      <c r="A69" s="249" t="s">
        <v>218</v>
      </c>
      <c r="B69" s="283" t="s">
        <v>71</v>
      </c>
      <c r="C69" s="248" t="s">
        <v>956</v>
      </c>
      <c r="D69" s="19"/>
      <c r="E69" s="530" t="s">
        <v>956</v>
      </c>
      <c r="F69" s="241" t="s">
        <v>218</v>
      </c>
      <c r="G69" s="532" t="s">
        <v>71</v>
      </c>
      <c r="H69" s="533" t="s">
        <v>1276</v>
      </c>
      <c r="I69" s="539" t="s">
        <v>1277</v>
      </c>
      <c r="K69" s="217" t="s">
        <v>397</v>
      </c>
      <c r="L69" s="218" t="s">
        <v>521</v>
      </c>
      <c r="M69" s="219" t="s">
        <v>398</v>
      </c>
      <c r="O69" s="206" t="s">
        <v>822</v>
      </c>
      <c r="P69" s="176" t="s">
        <v>740</v>
      </c>
      <c r="R69" s="569"/>
      <c r="S69" s="570"/>
      <c r="T69" s="570"/>
      <c r="U69" s="570" t="s">
        <v>59</v>
      </c>
      <c r="V69" s="570"/>
      <c r="W69" s="570"/>
      <c r="X69" s="570"/>
      <c r="Y69" s="570"/>
      <c r="Z69" s="570"/>
      <c r="AA69" s="570"/>
      <c r="AB69" s="571"/>
      <c r="AD69" s="569"/>
      <c r="AE69" s="570"/>
      <c r="AF69" s="570"/>
      <c r="AG69" s="570"/>
      <c r="AH69" s="570"/>
      <c r="AI69" s="570"/>
      <c r="AJ69" s="570"/>
      <c r="AK69" s="570"/>
      <c r="AL69" s="570"/>
      <c r="AM69" s="570"/>
      <c r="AN69" s="571"/>
    </row>
    <row r="70" spans="1:40" ht="20.100000000000001" customHeight="1">
      <c r="A70" s="249" t="s">
        <v>202</v>
      </c>
      <c r="B70" s="283" t="s">
        <v>71</v>
      </c>
      <c r="C70" s="248" t="s">
        <v>956</v>
      </c>
      <c r="D70" s="19"/>
      <c r="E70" s="530" t="s">
        <v>956</v>
      </c>
      <c r="F70" s="241" t="s">
        <v>202</v>
      </c>
      <c r="G70" s="532" t="s">
        <v>71</v>
      </c>
      <c r="H70" s="533" t="s">
        <v>1278</v>
      </c>
      <c r="I70" s="539" t="s">
        <v>1279</v>
      </c>
      <c r="K70" s="217" t="s">
        <v>399</v>
      </c>
      <c r="L70" s="218" t="s">
        <v>521</v>
      </c>
      <c r="M70" s="219" t="s">
        <v>400</v>
      </c>
      <c r="O70" s="206" t="s">
        <v>641</v>
      </c>
      <c r="P70" s="176" t="s">
        <v>739</v>
      </c>
      <c r="R70" s="569"/>
      <c r="S70" s="570"/>
      <c r="T70" s="570"/>
      <c r="U70" s="570" t="s">
        <v>60</v>
      </c>
      <c r="V70" s="570"/>
      <c r="W70" s="570"/>
      <c r="X70" s="570"/>
      <c r="Y70" s="570"/>
      <c r="Z70" s="570"/>
      <c r="AA70" s="570"/>
      <c r="AB70" s="571"/>
      <c r="AD70" s="569"/>
      <c r="AE70" s="570"/>
      <c r="AF70" s="570"/>
      <c r="AG70" s="570"/>
      <c r="AH70" s="570"/>
      <c r="AI70" s="570"/>
      <c r="AJ70" s="570"/>
      <c r="AK70" s="570"/>
      <c r="AL70" s="570"/>
      <c r="AM70" s="570"/>
      <c r="AN70" s="571"/>
    </row>
    <row r="71" spans="1:40" ht="20.100000000000001" customHeight="1">
      <c r="A71" s="249" t="s">
        <v>74</v>
      </c>
      <c r="B71" s="283" t="s">
        <v>71</v>
      </c>
      <c r="C71" s="248" t="s">
        <v>956</v>
      </c>
      <c r="D71" s="19"/>
      <c r="E71" s="530" t="s">
        <v>956</v>
      </c>
      <c r="F71" s="241" t="s">
        <v>74</v>
      </c>
      <c r="G71" s="532" t="s">
        <v>71</v>
      </c>
      <c r="H71" s="533" t="s">
        <v>1280</v>
      </c>
      <c r="I71" s="539" t="s">
        <v>1281</v>
      </c>
      <c r="K71" s="217" t="s">
        <v>401</v>
      </c>
      <c r="L71" s="218" t="s">
        <v>521</v>
      </c>
      <c r="M71" s="219" t="s">
        <v>402</v>
      </c>
      <c r="O71" s="206" t="s">
        <v>823</v>
      </c>
      <c r="P71" s="176" t="s">
        <v>738</v>
      </c>
      <c r="R71" s="569"/>
      <c r="S71" s="570"/>
      <c r="T71" s="570"/>
      <c r="U71" s="570" t="s">
        <v>61</v>
      </c>
      <c r="V71" s="570"/>
      <c r="W71" s="570"/>
      <c r="X71" s="570"/>
      <c r="Y71" s="570"/>
      <c r="Z71" s="570"/>
      <c r="AA71" s="570"/>
      <c r="AB71" s="571"/>
      <c r="AD71" s="569"/>
      <c r="AE71" s="570"/>
      <c r="AF71" s="570"/>
      <c r="AG71" s="570"/>
      <c r="AH71" s="570"/>
      <c r="AI71" s="570"/>
      <c r="AJ71" s="570"/>
      <c r="AK71" s="570"/>
      <c r="AL71" s="570"/>
      <c r="AM71" s="570"/>
      <c r="AN71" s="571"/>
    </row>
    <row r="72" spans="1:40" ht="20.100000000000001" customHeight="1" thickBot="1">
      <c r="A72" s="261" t="s">
        <v>75</v>
      </c>
      <c r="B72" s="281" t="s">
        <v>71</v>
      </c>
      <c r="C72" s="256" t="s">
        <v>956</v>
      </c>
      <c r="D72" s="19"/>
      <c r="E72" s="520" t="s">
        <v>956</v>
      </c>
      <c r="F72" s="521" t="s">
        <v>75</v>
      </c>
      <c r="G72" s="522" t="s">
        <v>71</v>
      </c>
      <c r="H72" s="523" t="s">
        <v>1282</v>
      </c>
      <c r="I72" s="524" t="s">
        <v>1283</v>
      </c>
      <c r="K72" s="217" t="s">
        <v>403</v>
      </c>
      <c r="L72" s="218" t="s">
        <v>521</v>
      </c>
      <c r="M72" s="219" t="s">
        <v>885</v>
      </c>
      <c r="O72" s="206"/>
      <c r="P72" s="174" t="s">
        <v>567</v>
      </c>
      <c r="R72" s="569"/>
      <c r="S72" s="570"/>
      <c r="T72" s="570"/>
      <c r="U72" s="570" t="s">
        <v>62</v>
      </c>
      <c r="V72" s="570"/>
      <c r="W72" s="570"/>
      <c r="X72" s="570"/>
      <c r="Y72" s="570"/>
      <c r="Z72" s="570"/>
      <c r="AA72" s="570"/>
      <c r="AB72" s="571"/>
      <c r="AD72" s="569"/>
      <c r="AE72" s="570"/>
      <c r="AF72" s="570"/>
      <c r="AG72" s="570"/>
      <c r="AH72" s="570"/>
      <c r="AI72" s="570"/>
      <c r="AJ72" s="570"/>
      <c r="AK72" s="570"/>
      <c r="AL72" s="570"/>
      <c r="AM72" s="570"/>
      <c r="AN72" s="571"/>
    </row>
    <row r="73" spans="1:40" ht="20.100000000000001" customHeight="1">
      <c r="A73" s="262" t="s">
        <v>201</v>
      </c>
      <c r="B73" s="280" t="s">
        <v>219</v>
      </c>
      <c r="C73" s="255" t="s">
        <v>1013</v>
      </c>
      <c r="D73" s="19"/>
      <c r="E73" s="515" t="s">
        <v>1013</v>
      </c>
      <c r="F73" s="516" t="s">
        <v>201</v>
      </c>
      <c r="G73" s="517" t="s">
        <v>219</v>
      </c>
      <c r="H73" s="518" t="s">
        <v>1284</v>
      </c>
      <c r="I73" s="519" t="s">
        <v>1285</v>
      </c>
      <c r="K73" s="217" t="s">
        <v>404</v>
      </c>
      <c r="L73" s="218" t="s">
        <v>521</v>
      </c>
      <c r="M73" s="219" t="s">
        <v>405</v>
      </c>
      <c r="O73" s="206"/>
      <c r="P73" s="175" t="s">
        <v>568</v>
      </c>
      <c r="R73" s="569"/>
      <c r="S73" s="570"/>
      <c r="T73" s="570"/>
      <c r="U73" s="570" t="s">
        <v>63</v>
      </c>
      <c r="V73" s="570"/>
      <c r="W73" s="570"/>
      <c r="X73" s="570"/>
      <c r="Y73" s="570"/>
      <c r="Z73" s="570"/>
      <c r="AA73" s="570"/>
      <c r="AB73" s="571"/>
      <c r="AD73" s="569"/>
      <c r="AE73" s="570"/>
      <c r="AF73" s="570"/>
      <c r="AG73" s="570"/>
      <c r="AH73" s="570"/>
      <c r="AI73" s="570"/>
      <c r="AJ73" s="570"/>
      <c r="AK73" s="570"/>
      <c r="AL73" s="570"/>
      <c r="AM73" s="570"/>
      <c r="AN73" s="571"/>
    </row>
    <row r="74" spans="1:40" ht="20.100000000000001" customHeight="1" thickBot="1">
      <c r="A74" s="249" t="s">
        <v>952</v>
      </c>
      <c r="B74" s="283" t="s">
        <v>219</v>
      </c>
      <c r="C74" s="248" t="s">
        <v>1013</v>
      </c>
      <c r="D74" s="19"/>
      <c r="E74" s="530" t="s">
        <v>1013</v>
      </c>
      <c r="F74" s="531" t="s">
        <v>952</v>
      </c>
      <c r="G74" s="532" t="s">
        <v>219</v>
      </c>
      <c r="H74" s="533" t="s">
        <v>1286</v>
      </c>
      <c r="I74" s="534" t="s">
        <v>1287</v>
      </c>
      <c r="K74" s="226" t="s">
        <v>406</v>
      </c>
      <c r="L74" s="227" t="s">
        <v>521</v>
      </c>
      <c r="M74" s="228" t="s">
        <v>407</v>
      </c>
      <c r="O74" s="206" t="s">
        <v>642</v>
      </c>
      <c r="P74" s="176" t="s">
        <v>737</v>
      </c>
      <c r="R74" s="569"/>
      <c r="S74" s="570"/>
      <c r="T74" s="570"/>
      <c r="U74" s="570" t="s">
        <v>64</v>
      </c>
      <c r="V74" s="570"/>
      <c r="W74" s="570"/>
      <c r="X74" s="570"/>
      <c r="Y74" s="570"/>
      <c r="Z74" s="570"/>
      <c r="AA74" s="570"/>
      <c r="AB74" s="571"/>
      <c r="AD74" s="569"/>
      <c r="AE74" s="570"/>
      <c r="AF74" s="570"/>
      <c r="AG74" s="570"/>
      <c r="AH74" s="570"/>
      <c r="AI74" s="570"/>
      <c r="AJ74" s="570"/>
      <c r="AK74" s="570"/>
      <c r="AL74" s="570"/>
      <c r="AM74" s="570"/>
      <c r="AN74" s="571"/>
    </row>
    <row r="75" spans="1:40" ht="20.100000000000001" customHeight="1" thickBot="1">
      <c r="A75" s="162" t="s">
        <v>220</v>
      </c>
      <c r="B75" s="281" t="s">
        <v>219</v>
      </c>
      <c r="C75" s="256" t="s">
        <v>1013</v>
      </c>
      <c r="D75" s="19"/>
      <c r="E75" s="520" t="s">
        <v>1013</v>
      </c>
      <c r="F75" s="521" t="s">
        <v>220</v>
      </c>
      <c r="G75" s="522" t="s">
        <v>219</v>
      </c>
      <c r="H75" s="523" t="s">
        <v>1288</v>
      </c>
      <c r="I75" s="524" t="s">
        <v>1289</v>
      </c>
      <c r="K75" s="214" t="s">
        <v>408</v>
      </c>
      <c r="L75" s="215" t="s">
        <v>523</v>
      </c>
      <c r="M75" s="216" t="s">
        <v>886</v>
      </c>
      <c r="O75" s="206"/>
      <c r="P75" s="175" t="s">
        <v>569</v>
      </c>
      <c r="R75" s="569"/>
      <c r="S75" s="570"/>
      <c r="T75" s="570"/>
      <c r="U75" s="570" t="s">
        <v>167</v>
      </c>
      <c r="V75" s="570"/>
      <c r="W75" s="570"/>
      <c r="X75" s="570"/>
      <c r="Y75" s="570"/>
      <c r="Z75" s="570"/>
      <c r="AA75" s="570"/>
      <c r="AB75" s="571"/>
      <c r="AD75" s="569"/>
      <c r="AE75" s="570"/>
      <c r="AF75" s="570"/>
      <c r="AG75" s="570"/>
      <c r="AH75" s="570"/>
      <c r="AI75" s="570"/>
      <c r="AJ75" s="570"/>
      <c r="AK75" s="570"/>
      <c r="AL75" s="570"/>
      <c r="AM75" s="570"/>
      <c r="AN75" s="571"/>
    </row>
    <row r="76" spans="1:40" ht="20.100000000000001" customHeight="1" thickBot="1">
      <c r="A76" s="162" t="s">
        <v>1137</v>
      </c>
      <c r="B76" s="281" t="s">
        <v>219</v>
      </c>
      <c r="C76" s="256" t="s">
        <v>1137</v>
      </c>
      <c r="D76" s="19"/>
      <c r="E76" s="515" t="s">
        <v>1137</v>
      </c>
      <c r="F76" s="516" t="s">
        <v>1137</v>
      </c>
      <c r="G76" s="517" t="s">
        <v>219</v>
      </c>
      <c r="H76" s="518" t="s">
        <v>1290</v>
      </c>
      <c r="I76" s="519" t="s">
        <v>1291</v>
      </c>
      <c r="K76" s="217" t="s">
        <v>409</v>
      </c>
      <c r="L76" s="218" t="s">
        <v>523</v>
      </c>
      <c r="M76" s="219" t="s">
        <v>410</v>
      </c>
      <c r="O76" s="206" t="s">
        <v>643</v>
      </c>
      <c r="P76" s="176" t="s">
        <v>736</v>
      </c>
      <c r="R76" s="569"/>
      <c r="S76" s="570"/>
      <c r="T76" s="570"/>
      <c r="U76" s="570" t="s">
        <v>170</v>
      </c>
      <c r="V76" s="570"/>
      <c r="W76" s="570"/>
      <c r="X76" s="570"/>
      <c r="Y76" s="570"/>
      <c r="Z76" s="570"/>
      <c r="AA76" s="570"/>
      <c r="AB76" s="571"/>
      <c r="AD76" s="569"/>
      <c r="AE76" s="570"/>
      <c r="AF76" s="570"/>
      <c r="AG76" s="570"/>
      <c r="AH76" s="570"/>
      <c r="AI76" s="570"/>
      <c r="AJ76" s="570"/>
      <c r="AK76" s="570"/>
      <c r="AL76" s="570"/>
      <c r="AM76" s="570"/>
      <c r="AN76" s="571"/>
    </row>
    <row r="77" spans="1:40" ht="20.100000000000001" customHeight="1">
      <c r="A77" s="161" t="s">
        <v>182</v>
      </c>
      <c r="B77" s="280" t="s">
        <v>219</v>
      </c>
      <c r="C77" s="255" t="s">
        <v>107</v>
      </c>
      <c r="D77" s="19"/>
      <c r="E77" s="515" t="s">
        <v>107</v>
      </c>
      <c r="F77" s="516" t="s">
        <v>182</v>
      </c>
      <c r="G77" s="517" t="s">
        <v>219</v>
      </c>
      <c r="H77" s="518" t="s">
        <v>1292</v>
      </c>
      <c r="I77" s="519" t="s">
        <v>1293</v>
      </c>
      <c r="K77" s="217" t="s">
        <v>411</v>
      </c>
      <c r="L77" s="218" t="s">
        <v>523</v>
      </c>
      <c r="M77" s="219" t="s">
        <v>887</v>
      </c>
      <c r="O77" s="206"/>
      <c r="P77" s="175" t="s">
        <v>570</v>
      </c>
      <c r="R77" s="569"/>
      <c r="S77" s="570"/>
      <c r="T77" s="570"/>
      <c r="U77" s="570" t="s">
        <v>866</v>
      </c>
      <c r="V77" s="570"/>
      <c r="W77" s="570"/>
      <c r="X77" s="570"/>
      <c r="Y77" s="570"/>
      <c r="Z77" s="570"/>
      <c r="AA77" s="570"/>
      <c r="AB77" s="571"/>
      <c r="AD77" s="569"/>
      <c r="AE77" s="570"/>
      <c r="AF77" s="570"/>
      <c r="AG77" s="570"/>
      <c r="AH77" s="570"/>
      <c r="AI77" s="570"/>
      <c r="AJ77" s="570"/>
      <c r="AK77" s="570"/>
      <c r="AL77" s="570"/>
      <c r="AM77" s="570"/>
      <c r="AN77" s="571"/>
    </row>
    <row r="78" spans="1:40" ht="20.100000000000001" customHeight="1">
      <c r="A78" s="163" t="s">
        <v>1014</v>
      </c>
      <c r="B78" s="283" t="s">
        <v>219</v>
      </c>
      <c r="C78" s="248" t="s">
        <v>107</v>
      </c>
      <c r="D78" s="19"/>
      <c r="E78" s="530" t="s">
        <v>107</v>
      </c>
      <c r="F78" s="241" t="s">
        <v>1014</v>
      </c>
      <c r="G78" s="532" t="s">
        <v>219</v>
      </c>
      <c r="H78" s="533" t="s">
        <v>1294</v>
      </c>
      <c r="I78" s="534" t="s">
        <v>1295</v>
      </c>
      <c r="K78" s="217" t="s">
        <v>412</v>
      </c>
      <c r="L78" s="218" t="s">
        <v>523</v>
      </c>
      <c r="M78" s="219" t="s">
        <v>888</v>
      </c>
      <c r="O78" s="206" t="s">
        <v>644</v>
      </c>
      <c r="P78" s="176" t="s">
        <v>735</v>
      </c>
      <c r="R78" s="569"/>
      <c r="S78" s="570"/>
      <c r="T78" s="570"/>
      <c r="U78" s="570" t="s">
        <v>867</v>
      </c>
      <c r="V78" s="570"/>
      <c r="W78" s="570"/>
      <c r="X78" s="570"/>
      <c r="Y78" s="570"/>
      <c r="Z78" s="570"/>
      <c r="AA78" s="570"/>
      <c r="AB78" s="571"/>
      <c r="AD78" s="569"/>
      <c r="AE78" s="570"/>
      <c r="AF78" s="570"/>
      <c r="AG78" s="570"/>
      <c r="AH78" s="570"/>
      <c r="AI78" s="570"/>
      <c r="AJ78" s="570"/>
      <c r="AK78" s="570"/>
      <c r="AL78" s="570"/>
      <c r="AM78" s="570"/>
      <c r="AN78" s="571"/>
    </row>
    <row r="79" spans="1:40" ht="20.100000000000001" customHeight="1">
      <c r="A79" s="163" t="s">
        <v>108</v>
      </c>
      <c r="B79" s="283" t="s">
        <v>219</v>
      </c>
      <c r="C79" s="248" t="s">
        <v>107</v>
      </c>
      <c r="D79" s="19"/>
      <c r="E79" s="530" t="s">
        <v>107</v>
      </c>
      <c r="F79" s="531" t="s">
        <v>108</v>
      </c>
      <c r="G79" s="532" t="s">
        <v>219</v>
      </c>
      <c r="H79" s="533" t="s">
        <v>1296</v>
      </c>
      <c r="I79" s="534" t="s">
        <v>1297</v>
      </c>
      <c r="K79" s="217" t="s">
        <v>413</v>
      </c>
      <c r="L79" s="218" t="s">
        <v>523</v>
      </c>
      <c r="M79" s="219" t="s">
        <v>889</v>
      </c>
      <c r="O79" s="206"/>
      <c r="P79" s="175" t="s">
        <v>571</v>
      </c>
      <c r="R79" s="569"/>
      <c r="S79" s="570"/>
      <c r="T79" s="570"/>
      <c r="U79" s="570" t="s">
        <v>869</v>
      </c>
      <c r="V79" s="570"/>
      <c r="W79" s="570"/>
      <c r="X79" s="570"/>
      <c r="Y79" s="570"/>
      <c r="Z79" s="570"/>
      <c r="AA79" s="570"/>
      <c r="AB79" s="571"/>
      <c r="AD79" s="569"/>
      <c r="AE79" s="570"/>
      <c r="AF79" s="570"/>
      <c r="AG79" s="570"/>
      <c r="AH79" s="570"/>
      <c r="AI79" s="570"/>
      <c r="AJ79" s="570"/>
      <c r="AK79" s="570"/>
      <c r="AL79" s="570"/>
      <c r="AM79" s="570"/>
      <c r="AN79" s="571"/>
    </row>
    <row r="80" spans="1:40" ht="20.100000000000001" customHeight="1">
      <c r="A80" s="163" t="s">
        <v>221</v>
      </c>
      <c r="B80" s="283" t="s">
        <v>219</v>
      </c>
      <c r="C80" s="248" t="s">
        <v>107</v>
      </c>
      <c r="D80" s="19"/>
      <c r="E80" s="530" t="s">
        <v>107</v>
      </c>
      <c r="F80" s="531" t="s">
        <v>221</v>
      </c>
      <c r="G80" s="532" t="s">
        <v>219</v>
      </c>
      <c r="H80" s="533" t="s">
        <v>1298</v>
      </c>
      <c r="I80" s="534" t="s">
        <v>1299</v>
      </c>
      <c r="K80" s="217" t="s">
        <v>414</v>
      </c>
      <c r="L80" s="218" t="s">
        <v>523</v>
      </c>
      <c r="M80" s="219" t="s">
        <v>890</v>
      </c>
      <c r="O80" s="206" t="s">
        <v>645</v>
      </c>
      <c r="P80" s="176" t="s">
        <v>734</v>
      </c>
      <c r="R80" s="569"/>
      <c r="S80" s="570"/>
      <c r="T80" s="570"/>
      <c r="U80" s="570" t="s">
        <v>870</v>
      </c>
      <c r="V80" s="570"/>
      <c r="W80" s="570"/>
      <c r="X80" s="570"/>
      <c r="Y80" s="570"/>
      <c r="Z80" s="570"/>
      <c r="AA80" s="570"/>
      <c r="AB80" s="571"/>
      <c r="AD80" s="569"/>
      <c r="AE80" s="570"/>
      <c r="AF80" s="570"/>
      <c r="AG80" s="570"/>
      <c r="AH80" s="570"/>
      <c r="AI80" s="570"/>
      <c r="AJ80" s="570"/>
      <c r="AK80" s="570"/>
      <c r="AL80" s="570"/>
      <c r="AM80" s="570"/>
      <c r="AN80" s="571"/>
    </row>
    <row r="81" spans="1:40" ht="20.100000000000001" customHeight="1">
      <c r="A81" s="249" t="s">
        <v>933</v>
      </c>
      <c r="B81" s="283" t="s">
        <v>219</v>
      </c>
      <c r="C81" s="248" t="s">
        <v>107</v>
      </c>
      <c r="D81" s="19"/>
      <c r="E81" s="530" t="s">
        <v>107</v>
      </c>
      <c r="F81" s="531" t="s">
        <v>933</v>
      </c>
      <c r="G81" s="532" t="s">
        <v>219</v>
      </c>
      <c r="H81" s="533" t="s">
        <v>1300</v>
      </c>
      <c r="I81" s="534" t="s">
        <v>1301</v>
      </c>
      <c r="K81" s="217" t="s">
        <v>415</v>
      </c>
      <c r="L81" s="218" t="s">
        <v>523</v>
      </c>
      <c r="M81" s="219" t="s">
        <v>891</v>
      </c>
      <c r="O81" s="206" t="s">
        <v>646</v>
      </c>
      <c r="P81" s="176" t="s">
        <v>733</v>
      </c>
      <c r="R81" s="569"/>
      <c r="S81" s="570"/>
      <c r="T81" s="570"/>
      <c r="U81" s="570"/>
      <c r="V81" s="570"/>
      <c r="W81" s="570"/>
      <c r="X81" s="570"/>
      <c r="Y81" s="570"/>
      <c r="Z81" s="570"/>
      <c r="AA81" s="570"/>
      <c r="AB81" s="571"/>
      <c r="AD81" s="569"/>
      <c r="AE81" s="570"/>
      <c r="AF81" s="570"/>
      <c r="AG81" s="570"/>
      <c r="AH81" s="570"/>
      <c r="AI81" s="570"/>
      <c r="AJ81" s="570"/>
      <c r="AK81" s="570"/>
      <c r="AL81" s="570"/>
      <c r="AM81" s="570"/>
      <c r="AN81" s="571"/>
    </row>
    <row r="82" spans="1:40" ht="20.100000000000001" customHeight="1" thickBot="1">
      <c r="A82" s="252" t="s">
        <v>109</v>
      </c>
      <c r="B82" s="279" t="s">
        <v>219</v>
      </c>
      <c r="C82" s="253" t="s">
        <v>107</v>
      </c>
      <c r="D82" s="19"/>
      <c r="E82" s="520" t="s">
        <v>107</v>
      </c>
      <c r="F82" s="521" t="s">
        <v>109</v>
      </c>
      <c r="G82" s="522" t="s">
        <v>219</v>
      </c>
      <c r="H82" s="523" t="s">
        <v>1302</v>
      </c>
      <c r="I82" s="524" t="s">
        <v>1303</v>
      </c>
      <c r="K82" s="217" t="s">
        <v>416</v>
      </c>
      <c r="L82" s="218" t="s">
        <v>523</v>
      </c>
      <c r="M82" s="219" t="s">
        <v>892</v>
      </c>
      <c r="O82" s="206"/>
      <c r="P82" s="175" t="s">
        <v>572</v>
      </c>
      <c r="R82" s="572"/>
      <c r="S82" s="573"/>
      <c r="T82" s="573"/>
      <c r="U82" s="573"/>
      <c r="V82" s="573"/>
      <c r="W82" s="573"/>
      <c r="X82" s="573"/>
      <c r="Y82" s="573"/>
      <c r="Z82" s="570"/>
      <c r="AA82" s="573"/>
      <c r="AB82" s="574"/>
      <c r="AD82" s="572"/>
      <c r="AE82" s="573"/>
      <c r="AF82" s="573"/>
      <c r="AG82" s="573"/>
      <c r="AH82" s="573"/>
      <c r="AI82" s="573"/>
      <c r="AJ82" s="573"/>
      <c r="AK82" s="573"/>
      <c r="AL82" s="573"/>
      <c r="AM82" s="573"/>
      <c r="AN82" s="574"/>
    </row>
    <row r="83" spans="1:40" ht="20.100000000000001" customHeight="1" thickBot="1">
      <c r="A83" s="161" t="s">
        <v>15</v>
      </c>
      <c r="B83" s="280" t="s">
        <v>9</v>
      </c>
      <c r="C83" s="255" t="s">
        <v>16</v>
      </c>
      <c r="D83" s="19"/>
      <c r="E83" s="515" t="s">
        <v>16</v>
      </c>
      <c r="F83" s="239" t="s">
        <v>15</v>
      </c>
      <c r="G83" s="517" t="s">
        <v>9</v>
      </c>
      <c r="H83" s="518" t="s">
        <v>1304</v>
      </c>
      <c r="I83" s="519" t="s">
        <v>1305</v>
      </c>
      <c r="K83" s="232" t="s">
        <v>417</v>
      </c>
      <c r="L83" s="218" t="s">
        <v>523</v>
      </c>
      <c r="M83" s="168" t="s">
        <v>988</v>
      </c>
      <c r="O83" s="206" t="s">
        <v>824</v>
      </c>
      <c r="P83" s="176" t="s">
        <v>732</v>
      </c>
      <c r="Z83" s="573"/>
    </row>
    <row r="84" spans="1:40" ht="20.100000000000001" customHeight="1">
      <c r="A84" s="163" t="s">
        <v>17</v>
      </c>
      <c r="B84" s="283" t="s">
        <v>9</v>
      </c>
      <c r="C84" s="248" t="s">
        <v>16</v>
      </c>
      <c r="D84" s="19"/>
      <c r="E84" s="530" t="s">
        <v>16</v>
      </c>
      <c r="F84" s="531" t="s">
        <v>17</v>
      </c>
      <c r="G84" s="532" t="s">
        <v>9</v>
      </c>
      <c r="H84" s="533" t="s">
        <v>1306</v>
      </c>
      <c r="I84" s="534" t="s">
        <v>1307</v>
      </c>
      <c r="K84" s="217" t="s">
        <v>979</v>
      </c>
      <c r="L84" s="218" t="s">
        <v>523</v>
      </c>
      <c r="M84" s="219" t="s">
        <v>989</v>
      </c>
      <c r="O84" s="206"/>
      <c r="P84" s="175" t="s">
        <v>573</v>
      </c>
    </row>
    <row r="85" spans="1:40" ht="20.100000000000001" customHeight="1">
      <c r="A85" s="163" t="s">
        <v>65</v>
      </c>
      <c r="B85" s="283" t="s">
        <v>9</v>
      </c>
      <c r="C85" s="248" t="s">
        <v>16</v>
      </c>
      <c r="D85" s="19"/>
      <c r="E85" s="530" t="s">
        <v>16</v>
      </c>
      <c r="F85" s="531" t="s">
        <v>65</v>
      </c>
      <c r="G85" s="532" t="s">
        <v>9</v>
      </c>
      <c r="H85" s="533" t="s">
        <v>1308</v>
      </c>
      <c r="I85" s="534" t="s">
        <v>1309</v>
      </c>
      <c r="K85" s="217" t="s">
        <v>978</v>
      </c>
      <c r="L85" s="218" t="s">
        <v>523</v>
      </c>
      <c r="M85" s="219" t="s">
        <v>990</v>
      </c>
      <c r="O85" s="206" t="s">
        <v>647</v>
      </c>
      <c r="P85" s="176" t="s">
        <v>731</v>
      </c>
    </row>
    <row r="86" spans="1:40" ht="20.100000000000001" customHeight="1">
      <c r="A86" s="249" t="s">
        <v>203</v>
      </c>
      <c r="B86" s="283" t="s">
        <v>9</v>
      </c>
      <c r="C86" s="248" t="s">
        <v>16</v>
      </c>
      <c r="D86" s="19"/>
      <c r="E86" s="530" t="s">
        <v>16</v>
      </c>
      <c r="F86" s="531" t="s">
        <v>203</v>
      </c>
      <c r="G86" s="532" t="s">
        <v>9</v>
      </c>
      <c r="H86" s="533" t="s">
        <v>1310</v>
      </c>
      <c r="I86" s="534" t="s">
        <v>1311</v>
      </c>
      <c r="K86" s="217" t="s">
        <v>980</v>
      </c>
      <c r="L86" s="218" t="s">
        <v>523</v>
      </c>
      <c r="M86" s="219" t="s">
        <v>991</v>
      </c>
      <c r="O86" s="206"/>
      <c r="P86" s="175" t="s">
        <v>981</v>
      </c>
    </row>
    <row r="87" spans="1:40" ht="20.100000000000001" customHeight="1">
      <c r="A87" s="163" t="s">
        <v>935</v>
      </c>
      <c r="B87" s="283" t="s">
        <v>9</v>
      </c>
      <c r="C87" s="248" t="s">
        <v>16</v>
      </c>
      <c r="D87" s="19"/>
      <c r="E87" s="530" t="s">
        <v>16</v>
      </c>
      <c r="F87" s="531" t="s">
        <v>935</v>
      </c>
      <c r="G87" s="532" t="s">
        <v>9</v>
      </c>
      <c r="H87" s="533" t="s">
        <v>1312</v>
      </c>
      <c r="I87" s="534" t="s">
        <v>1313</v>
      </c>
      <c r="K87" s="217" t="s">
        <v>992</v>
      </c>
      <c r="L87" s="218" t="s">
        <v>523</v>
      </c>
      <c r="M87" s="219" t="s">
        <v>1000</v>
      </c>
      <c r="O87" s="206" t="s">
        <v>982</v>
      </c>
      <c r="P87" s="176" t="s">
        <v>983</v>
      </c>
    </row>
    <row r="88" spans="1:40" ht="20.100000000000001" customHeight="1" thickBot="1">
      <c r="A88" s="162" t="s">
        <v>66</v>
      </c>
      <c r="B88" s="281" t="s">
        <v>9</v>
      </c>
      <c r="C88" s="256" t="s">
        <v>16</v>
      </c>
      <c r="D88" s="19"/>
      <c r="E88" s="520" t="s">
        <v>16</v>
      </c>
      <c r="F88" s="521" t="s">
        <v>66</v>
      </c>
      <c r="G88" s="522" t="s">
        <v>9</v>
      </c>
      <c r="H88" s="523" t="s">
        <v>1314</v>
      </c>
      <c r="I88" s="524" t="s">
        <v>1315</v>
      </c>
      <c r="K88" s="220" t="s">
        <v>993</v>
      </c>
      <c r="L88" s="221" t="s">
        <v>523</v>
      </c>
      <c r="M88" s="222" t="s">
        <v>994</v>
      </c>
      <c r="O88" s="206"/>
      <c r="P88" s="403" t="s">
        <v>1082</v>
      </c>
    </row>
    <row r="89" spans="1:40" ht="20.100000000000001" customHeight="1">
      <c r="A89" s="161" t="s">
        <v>1015</v>
      </c>
      <c r="B89" s="280" t="s">
        <v>22</v>
      </c>
      <c r="C89" s="255" t="s">
        <v>934</v>
      </c>
      <c r="D89" s="19"/>
      <c r="E89" s="515" t="s">
        <v>934</v>
      </c>
      <c r="F89" s="516" t="s">
        <v>1015</v>
      </c>
      <c r="G89" s="517" t="s">
        <v>22</v>
      </c>
      <c r="H89" s="518" t="s">
        <v>1316</v>
      </c>
      <c r="I89" s="519" t="s">
        <v>1317</v>
      </c>
      <c r="K89" s="214" t="s">
        <v>418</v>
      </c>
      <c r="L89" s="215" t="s">
        <v>524</v>
      </c>
      <c r="M89" s="216" t="s">
        <v>893</v>
      </c>
      <c r="O89" s="206"/>
      <c r="P89" s="404" t="s">
        <v>1083</v>
      </c>
    </row>
    <row r="90" spans="1:40" ht="20.100000000000001" customHeight="1" thickBot="1">
      <c r="A90" s="162" t="s">
        <v>1016</v>
      </c>
      <c r="B90" s="281" t="s">
        <v>22</v>
      </c>
      <c r="C90" s="256" t="s">
        <v>934</v>
      </c>
      <c r="D90" s="19"/>
      <c r="E90" s="520" t="s">
        <v>934</v>
      </c>
      <c r="F90" s="521" t="s">
        <v>1016</v>
      </c>
      <c r="G90" s="522" t="s">
        <v>22</v>
      </c>
      <c r="H90" s="523" t="s">
        <v>1318</v>
      </c>
      <c r="I90" s="524" t="s">
        <v>1319</v>
      </c>
      <c r="K90" s="226" t="s">
        <v>419</v>
      </c>
      <c r="L90" s="227" t="s">
        <v>524</v>
      </c>
      <c r="M90" s="228" t="s">
        <v>894</v>
      </c>
      <c r="O90" s="206" t="s">
        <v>1001</v>
      </c>
      <c r="P90" s="177" t="s">
        <v>1084</v>
      </c>
    </row>
    <row r="91" spans="1:40" ht="20.100000000000001" customHeight="1">
      <c r="A91" s="161" t="s">
        <v>205</v>
      </c>
      <c r="B91" s="280" t="s">
        <v>9</v>
      </c>
      <c r="C91" s="255" t="s">
        <v>196</v>
      </c>
      <c r="D91" s="19"/>
      <c r="E91" s="515" t="s">
        <v>196</v>
      </c>
      <c r="F91" s="516" t="s">
        <v>205</v>
      </c>
      <c r="G91" s="517" t="s">
        <v>9</v>
      </c>
      <c r="H91" s="518" t="s">
        <v>1320</v>
      </c>
      <c r="I91" s="519" t="s">
        <v>1321</v>
      </c>
      <c r="K91" s="214" t="s">
        <v>420</v>
      </c>
      <c r="L91" s="215" t="s">
        <v>525</v>
      </c>
      <c r="M91" s="216" t="s">
        <v>421</v>
      </c>
      <c r="O91" s="206"/>
      <c r="P91" s="173" t="s">
        <v>574</v>
      </c>
    </row>
    <row r="92" spans="1:40" ht="20.100000000000001" customHeight="1" thickBot="1">
      <c r="A92" s="163" t="s">
        <v>206</v>
      </c>
      <c r="B92" s="283" t="s">
        <v>9</v>
      </c>
      <c r="C92" s="248" t="s">
        <v>196</v>
      </c>
      <c r="D92" s="19"/>
      <c r="E92" s="530" t="s">
        <v>196</v>
      </c>
      <c r="F92" s="531" t="s">
        <v>206</v>
      </c>
      <c r="G92" s="532" t="s">
        <v>9</v>
      </c>
      <c r="H92" s="533" t="s">
        <v>1322</v>
      </c>
      <c r="I92" s="534" t="s">
        <v>1323</v>
      </c>
      <c r="K92" s="220" t="s">
        <v>422</v>
      </c>
      <c r="L92" s="221" t="s">
        <v>525</v>
      </c>
      <c r="M92" s="222" t="s">
        <v>423</v>
      </c>
      <c r="O92" s="206"/>
      <c r="P92" s="174" t="s">
        <v>575</v>
      </c>
    </row>
    <row r="93" spans="1:40" ht="20.100000000000001" customHeight="1" thickBot="1">
      <c r="A93" s="252" t="s">
        <v>207</v>
      </c>
      <c r="B93" s="279" t="s">
        <v>9</v>
      </c>
      <c r="C93" s="253" t="s">
        <v>196</v>
      </c>
      <c r="D93" s="19"/>
      <c r="E93" s="520" t="s">
        <v>196</v>
      </c>
      <c r="F93" s="521" t="s">
        <v>207</v>
      </c>
      <c r="G93" s="522" t="s">
        <v>9</v>
      </c>
      <c r="H93" s="523" t="s">
        <v>1324</v>
      </c>
      <c r="I93" s="524" t="s">
        <v>1325</v>
      </c>
      <c r="K93" s="214" t="s">
        <v>424</v>
      </c>
      <c r="L93" s="215" t="s">
        <v>526</v>
      </c>
      <c r="M93" s="216" t="s">
        <v>895</v>
      </c>
      <c r="O93" s="206"/>
      <c r="P93" s="175" t="s">
        <v>576</v>
      </c>
    </row>
    <row r="94" spans="1:40" ht="20.100000000000001" customHeight="1">
      <c r="A94" s="161" t="s">
        <v>192</v>
      </c>
      <c r="B94" s="280" t="s">
        <v>237</v>
      </c>
      <c r="C94" s="255" t="s">
        <v>223</v>
      </c>
      <c r="D94" s="19"/>
      <c r="E94" s="515" t="s">
        <v>223</v>
      </c>
      <c r="F94" s="516" t="s">
        <v>192</v>
      </c>
      <c r="G94" s="517" t="s">
        <v>237</v>
      </c>
      <c r="H94" s="518" t="s">
        <v>1326</v>
      </c>
      <c r="I94" s="519" t="s">
        <v>1327</v>
      </c>
      <c r="K94" s="217" t="s">
        <v>425</v>
      </c>
      <c r="L94" s="218" t="s">
        <v>526</v>
      </c>
      <c r="M94" s="219" t="s">
        <v>896</v>
      </c>
      <c r="O94" s="206" t="s">
        <v>648</v>
      </c>
      <c r="P94" s="176" t="s">
        <v>730</v>
      </c>
    </row>
    <row r="95" spans="1:40" ht="20.100000000000001" customHeight="1">
      <c r="A95" s="163" t="s">
        <v>224</v>
      </c>
      <c r="B95" s="283" t="s">
        <v>237</v>
      </c>
      <c r="C95" s="248" t="s">
        <v>223</v>
      </c>
      <c r="D95" s="19"/>
      <c r="E95" s="530" t="s">
        <v>223</v>
      </c>
      <c r="F95" s="531" t="s">
        <v>224</v>
      </c>
      <c r="G95" s="532" t="s">
        <v>237</v>
      </c>
      <c r="H95" s="533" t="s">
        <v>1328</v>
      </c>
      <c r="I95" s="534" t="s">
        <v>1329</v>
      </c>
      <c r="K95" s="217" t="s">
        <v>426</v>
      </c>
      <c r="L95" s="218" t="s">
        <v>526</v>
      </c>
      <c r="M95" s="219" t="s">
        <v>897</v>
      </c>
      <c r="O95" s="206" t="s">
        <v>649</v>
      </c>
      <c r="P95" s="176" t="s">
        <v>729</v>
      </c>
    </row>
    <row r="96" spans="1:40" ht="20.100000000000001" customHeight="1" thickBot="1">
      <c r="A96" s="162" t="s">
        <v>936</v>
      </c>
      <c r="B96" s="281" t="s">
        <v>237</v>
      </c>
      <c r="C96" s="256" t="s">
        <v>223</v>
      </c>
      <c r="D96" s="19"/>
      <c r="E96" s="520" t="s">
        <v>223</v>
      </c>
      <c r="F96" s="521" t="s">
        <v>936</v>
      </c>
      <c r="G96" s="522" t="s">
        <v>237</v>
      </c>
      <c r="H96" s="523" t="s">
        <v>1330</v>
      </c>
      <c r="I96" s="524" t="s">
        <v>1331</v>
      </c>
      <c r="K96" s="217" t="s">
        <v>427</v>
      </c>
      <c r="L96" s="218" t="s">
        <v>526</v>
      </c>
      <c r="M96" s="219" t="s">
        <v>898</v>
      </c>
      <c r="O96" s="206" t="s">
        <v>650</v>
      </c>
      <c r="P96" s="176" t="s">
        <v>728</v>
      </c>
    </row>
    <row r="97" spans="1:16" ht="20.100000000000001" customHeight="1" thickBot="1">
      <c r="A97" s="161" t="s">
        <v>1018</v>
      </c>
      <c r="B97" s="280" t="s">
        <v>219</v>
      </c>
      <c r="C97" s="255" t="s">
        <v>1017</v>
      </c>
      <c r="D97" s="19"/>
      <c r="E97" s="515" t="s">
        <v>1017</v>
      </c>
      <c r="F97" s="516" t="s">
        <v>1018</v>
      </c>
      <c r="G97" s="517" t="s">
        <v>219</v>
      </c>
      <c r="H97" s="518" t="s">
        <v>1332</v>
      </c>
      <c r="I97" s="519" t="s">
        <v>1333</v>
      </c>
      <c r="K97" s="220" t="s">
        <v>428</v>
      </c>
      <c r="L97" s="221" t="s">
        <v>526</v>
      </c>
      <c r="M97" s="222" t="s">
        <v>899</v>
      </c>
      <c r="O97" s="206" t="s">
        <v>651</v>
      </c>
      <c r="P97" s="176" t="s">
        <v>727</v>
      </c>
    </row>
    <row r="98" spans="1:16" ht="20.100000000000001" customHeight="1" thickBot="1">
      <c r="A98" s="162" t="s">
        <v>1019</v>
      </c>
      <c r="B98" s="281" t="s">
        <v>219</v>
      </c>
      <c r="C98" s="256" t="s">
        <v>1017</v>
      </c>
      <c r="D98" s="19"/>
      <c r="E98" s="520" t="s">
        <v>1017</v>
      </c>
      <c r="F98" s="521" t="s">
        <v>1019</v>
      </c>
      <c r="G98" s="522" t="s">
        <v>219</v>
      </c>
      <c r="H98" s="523" t="s">
        <v>1334</v>
      </c>
      <c r="I98" s="524">
        <v>20305</v>
      </c>
      <c r="K98" s="214" t="s">
        <v>429</v>
      </c>
      <c r="L98" s="215" t="s">
        <v>527</v>
      </c>
      <c r="M98" s="216" t="s">
        <v>430</v>
      </c>
      <c r="O98" s="206"/>
      <c r="P98" s="174" t="s">
        <v>1002</v>
      </c>
    </row>
    <row r="99" spans="1:16" ht="20.100000000000001" customHeight="1">
      <c r="A99" s="161" t="s">
        <v>1020</v>
      </c>
      <c r="B99" s="280" t="s">
        <v>92</v>
      </c>
      <c r="C99" s="255" t="s">
        <v>96</v>
      </c>
      <c r="D99" s="19"/>
      <c r="E99" s="515" t="s">
        <v>96</v>
      </c>
      <c r="F99" s="516" t="s">
        <v>1020</v>
      </c>
      <c r="G99" s="517" t="s">
        <v>92</v>
      </c>
      <c r="H99" s="518" t="s">
        <v>1335</v>
      </c>
      <c r="I99" s="519" t="s">
        <v>1336</v>
      </c>
      <c r="K99" s="217" t="s">
        <v>431</v>
      </c>
      <c r="L99" s="218" t="s">
        <v>527</v>
      </c>
      <c r="M99" s="219" t="s">
        <v>432</v>
      </c>
      <c r="O99" s="206"/>
      <c r="P99" s="175" t="s">
        <v>1003</v>
      </c>
    </row>
    <row r="100" spans="1:16" ht="20.100000000000001" customHeight="1">
      <c r="A100" s="163" t="s">
        <v>858</v>
      </c>
      <c r="B100" s="283" t="s">
        <v>92</v>
      </c>
      <c r="C100" s="248" t="s">
        <v>96</v>
      </c>
      <c r="D100" s="19"/>
      <c r="E100" s="530" t="s">
        <v>96</v>
      </c>
      <c r="F100" s="531" t="s">
        <v>858</v>
      </c>
      <c r="G100" s="532" t="s">
        <v>92</v>
      </c>
      <c r="H100" s="533" t="s">
        <v>1337</v>
      </c>
      <c r="I100" s="534" t="s">
        <v>1338</v>
      </c>
      <c r="K100" s="217" t="s">
        <v>433</v>
      </c>
      <c r="L100" s="218" t="s">
        <v>527</v>
      </c>
      <c r="M100" s="219" t="s">
        <v>434</v>
      </c>
      <c r="O100" s="206" t="s">
        <v>825</v>
      </c>
      <c r="P100" s="176" t="s">
        <v>826</v>
      </c>
    </row>
    <row r="101" spans="1:16" ht="20.100000000000001" customHeight="1" thickBot="1">
      <c r="A101" s="163" t="s">
        <v>97</v>
      </c>
      <c r="B101" s="283" t="s">
        <v>92</v>
      </c>
      <c r="C101" s="248" t="s">
        <v>96</v>
      </c>
      <c r="D101" s="19"/>
      <c r="E101" s="530" t="s">
        <v>96</v>
      </c>
      <c r="F101" s="531" t="s">
        <v>97</v>
      </c>
      <c r="G101" s="532" t="s">
        <v>92</v>
      </c>
      <c r="H101" s="533" t="s">
        <v>1339</v>
      </c>
      <c r="I101" s="534" t="s">
        <v>1340</v>
      </c>
      <c r="K101" s="220" t="s">
        <v>435</v>
      </c>
      <c r="L101" s="221" t="s">
        <v>527</v>
      </c>
      <c r="M101" s="222" t="s">
        <v>436</v>
      </c>
      <c r="O101" s="206"/>
      <c r="P101" s="173" t="s">
        <v>577</v>
      </c>
    </row>
    <row r="102" spans="1:16" ht="20.100000000000001" customHeight="1">
      <c r="A102" s="163" t="s">
        <v>204</v>
      </c>
      <c r="B102" s="283" t="s">
        <v>92</v>
      </c>
      <c r="C102" s="248" t="s">
        <v>96</v>
      </c>
      <c r="D102" s="19"/>
      <c r="E102" s="530" t="s">
        <v>96</v>
      </c>
      <c r="F102" s="531" t="s">
        <v>204</v>
      </c>
      <c r="G102" s="532" t="s">
        <v>92</v>
      </c>
      <c r="H102" s="533" t="s">
        <v>1341</v>
      </c>
      <c r="I102" s="534" t="s">
        <v>1342</v>
      </c>
      <c r="K102" s="214" t="s">
        <v>437</v>
      </c>
      <c r="L102" s="215" t="s">
        <v>528</v>
      </c>
      <c r="M102" s="216" t="s">
        <v>438</v>
      </c>
      <c r="O102" s="206"/>
      <c r="P102" s="174" t="s">
        <v>578</v>
      </c>
    </row>
    <row r="103" spans="1:16" ht="20.100000000000001" customHeight="1" thickBot="1">
      <c r="A103" s="162" t="s">
        <v>98</v>
      </c>
      <c r="B103" s="281" t="s">
        <v>92</v>
      </c>
      <c r="C103" s="256" t="s">
        <v>96</v>
      </c>
      <c r="D103" s="19"/>
      <c r="E103" s="520" t="s">
        <v>96</v>
      </c>
      <c r="F103" s="521" t="s">
        <v>98</v>
      </c>
      <c r="G103" s="522" t="s">
        <v>92</v>
      </c>
      <c r="H103" s="523" t="s">
        <v>1343</v>
      </c>
      <c r="I103" s="524" t="s">
        <v>1344</v>
      </c>
      <c r="K103" s="217" t="s">
        <v>439</v>
      </c>
      <c r="L103" s="218" t="s">
        <v>528</v>
      </c>
      <c r="M103" s="219" t="s">
        <v>440</v>
      </c>
      <c r="O103" s="206"/>
      <c r="P103" s="175" t="s">
        <v>579</v>
      </c>
    </row>
    <row r="104" spans="1:16" ht="20.100000000000001" customHeight="1" thickBot="1">
      <c r="A104" s="161" t="s">
        <v>225</v>
      </c>
      <c r="B104" s="280" t="s">
        <v>92</v>
      </c>
      <c r="C104" s="255" t="s">
        <v>94</v>
      </c>
      <c r="D104" s="19"/>
      <c r="E104" s="515" t="s">
        <v>94</v>
      </c>
      <c r="F104" s="516" t="s">
        <v>225</v>
      </c>
      <c r="G104" s="517" t="s">
        <v>92</v>
      </c>
      <c r="H104" s="518" t="s">
        <v>1345</v>
      </c>
      <c r="I104" s="519" t="s">
        <v>1346</v>
      </c>
      <c r="K104" s="226" t="s">
        <v>441</v>
      </c>
      <c r="L104" s="227" t="s">
        <v>528</v>
      </c>
      <c r="M104" s="228" t="s">
        <v>900</v>
      </c>
      <c r="O104" s="206" t="s">
        <v>652</v>
      </c>
      <c r="P104" s="176" t="s">
        <v>726</v>
      </c>
    </row>
    <row r="105" spans="1:16" ht="20.100000000000001" customHeight="1">
      <c r="A105" s="163" t="s">
        <v>95</v>
      </c>
      <c r="B105" s="283" t="s">
        <v>92</v>
      </c>
      <c r="C105" s="248" t="s">
        <v>94</v>
      </c>
      <c r="D105" s="19"/>
      <c r="E105" s="530" t="s">
        <v>94</v>
      </c>
      <c r="F105" s="531" t="s">
        <v>95</v>
      </c>
      <c r="G105" s="532" t="s">
        <v>92</v>
      </c>
      <c r="H105" s="533" t="s">
        <v>1347</v>
      </c>
      <c r="I105" s="534" t="s">
        <v>1348</v>
      </c>
      <c r="K105" s="214" t="s">
        <v>442</v>
      </c>
      <c r="L105" s="215" t="s">
        <v>529</v>
      </c>
      <c r="M105" s="216" t="s">
        <v>296</v>
      </c>
      <c r="O105" s="206" t="s">
        <v>827</v>
      </c>
      <c r="P105" s="176" t="s">
        <v>725</v>
      </c>
    </row>
    <row r="106" spans="1:16" ht="20.100000000000001" customHeight="1">
      <c r="A106" s="163" t="s">
        <v>1021</v>
      </c>
      <c r="B106" s="283" t="s">
        <v>92</v>
      </c>
      <c r="C106" s="248" t="s">
        <v>94</v>
      </c>
      <c r="D106" s="19"/>
      <c r="E106" s="530" t="s">
        <v>94</v>
      </c>
      <c r="F106" s="531" t="s">
        <v>1021</v>
      </c>
      <c r="G106" s="532" t="s">
        <v>92</v>
      </c>
      <c r="H106" s="533" t="s">
        <v>1349</v>
      </c>
      <c r="I106" s="534" t="s">
        <v>1350</v>
      </c>
      <c r="K106" s="217" t="s">
        <v>443</v>
      </c>
      <c r="L106" s="218" t="s">
        <v>529</v>
      </c>
      <c r="M106" s="219" t="s">
        <v>901</v>
      </c>
      <c r="O106" s="206" t="s">
        <v>653</v>
      </c>
      <c r="P106" s="176" t="s">
        <v>724</v>
      </c>
    </row>
    <row r="107" spans="1:16" ht="20.100000000000001" customHeight="1">
      <c r="A107" s="163" t="s">
        <v>226</v>
      </c>
      <c r="B107" s="283" t="s">
        <v>92</v>
      </c>
      <c r="C107" s="248" t="s">
        <v>94</v>
      </c>
      <c r="D107" s="19"/>
      <c r="E107" s="530" t="s">
        <v>94</v>
      </c>
      <c r="F107" s="531" t="s">
        <v>226</v>
      </c>
      <c r="G107" s="532" t="s">
        <v>92</v>
      </c>
      <c r="H107" s="533" t="s">
        <v>1351</v>
      </c>
      <c r="I107" s="534" t="s">
        <v>1352</v>
      </c>
      <c r="K107" s="217" t="s">
        <v>444</v>
      </c>
      <c r="L107" s="218" t="s">
        <v>529</v>
      </c>
      <c r="M107" s="219" t="s">
        <v>445</v>
      </c>
      <c r="O107" s="206"/>
      <c r="P107" s="174" t="s">
        <v>580</v>
      </c>
    </row>
    <row r="108" spans="1:16" ht="20.100000000000001" customHeight="1" thickBot="1">
      <c r="A108" s="162" t="s">
        <v>193</v>
      </c>
      <c r="B108" s="281" t="s">
        <v>92</v>
      </c>
      <c r="C108" s="256" t="s">
        <v>94</v>
      </c>
      <c r="D108" s="19"/>
      <c r="E108" s="520" t="s">
        <v>94</v>
      </c>
      <c r="F108" s="521" t="s">
        <v>193</v>
      </c>
      <c r="G108" s="522" t="s">
        <v>92</v>
      </c>
      <c r="H108" s="523" t="s">
        <v>1353</v>
      </c>
      <c r="I108" s="524" t="s">
        <v>1354</v>
      </c>
      <c r="K108" s="220" t="s">
        <v>995</v>
      </c>
      <c r="L108" s="221" t="s">
        <v>529</v>
      </c>
      <c r="M108" s="222" t="s">
        <v>996</v>
      </c>
      <c r="O108" s="206"/>
      <c r="P108" s="175" t="s">
        <v>581</v>
      </c>
    </row>
    <row r="109" spans="1:16" ht="20.100000000000001" customHeight="1" thickBot="1">
      <c r="A109" s="161" t="s">
        <v>227</v>
      </c>
      <c r="B109" s="280" t="s">
        <v>92</v>
      </c>
      <c r="C109" s="255" t="s">
        <v>228</v>
      </c>
      <c r="D109" s="19"/>
      <c r="E109" s="515" t="s">
        <v>228</v>
      </c>
      <c r="F109" s="516" t="s">
        <v>227</v>
      </c>
      <c r="G109" s="517" t="s">
        <v>92</v>
      </c>
      <c r="H109" s="518" t="s">
        <v>1355</v>
      </c>
      <c r="I109" s="519" t="s">
        <v>1356</v>
      </c>
      <c r="K109" s="229" t="s">
        <v>446</v>
      </c>
      <c r="L109" s="230" t="s">
        <v>530</v>
      </c>
      <c r="M109" s="231" t="s">
        <v>447</v>
      </c>
      <c r="O109" s="206" t="s">
        <v>828</v>
      </c>
      <c r="P109" s="176" t="s">
        <v>723</v>
      </c>
    </row>
    <row r="110" spans="1:16" ht="20.100000000000001" customHeight="1">
      <c r="A110" s="163" t="s">
        <v>93</v>
      </c>
      <c r="B110" s="283" t="s">
        <v>92</v>
      </c>
      <c r="C110" s="248" t="s">
        <v>228</v>
      </c>
      <c r="D110" s="19"/>
      <c r="E110" s="530" t="s">
        <v>228</v>
      </c>
      <c r="F110" s="531" t="s">
        <v>93</v>
      </c>
      <c r="G110" s="532" t="s">
        <v>92</v>
      </c>
      <c r="H110" s="533" t="s">
        <v>1357</v>
      </c>
      <c r="I110" s="534" t="s">
        <v>1358</v>
      </c>
      <c r="K110" s="214" t="s">
        <v>448</v>
      </c>
      <c r="L110" s="215" t="s">
        <v>531</v>
      </c>
      <c r="M110" s="216" t="s">
        <v>902</v>
      </c>
      <c r="O110" s="206" t="s">
        <v>654</v>
      </c>
      <c r="P110" s="176" t="s">
        <v>722</v>
      </c>
    </row>
    <row r="111" spans="1:16" ht="20.100000000000001" customHeight="1" thickBot="1">
      <c r="A111" s="163" t="s">
        <v>229</v>
      </c>
      <c r="B111" s="283" t="s">
        <v>92</v>
      </c>
      <c r="C111" s="248" t="s">
        <v>228</v>
      </c>
      <c r="D111" s="19"/>
      <c r="E111" s="530" t="s">
        <v>228</v>
      </c>
      <c r="F111" s="531" t="s">
        <v>229</v>
      </c>
      <c r="G111" s="532" t="s">
        <v>92</v>
      </c>
      <c r="H111" s="533" t="s">
        <v>1359</v>
      </c>
      <c r="I111" s="534" t="s">
        <v>1360</v>
      </c>
      <c r="K111" s="220" t="s">
        <v>449</v>
      </c>
      <c r="L111" s="221" t="s">
        <v>532</v>
      </c>
      <c r="M111" s="222" t="s">
        <v>450</v>
      </c>
      <c r="O111" s="206" t="s">
        <v>655</v>
      </c>
      <c r="P111" s="176" t="s">
        <v>721</v>
      </c>
    </row>
    <row r="112" spans="1:16" ht="20.100000000000001" customHeight="1" thickBot="1">
      <c r="A112" s="252" t="s">
        <v>230</v>
      </c>
      <c r="B112" s="279" t="s">
        <v>92</v>
      </c>
      <c r="C112" s="253" t="s">
        <v>228</v>
      </c>
      <c r="D112" s="19"/>
      <c r="E112" s="520" t="s">
        <v>228</v>
      </c>
      <c r="F112" s="521" t="s">
        <v>230</v>
      </c>
      <c r="G112" s="522" t="s">
        <v>92</v>
      </c>
      <c r="H112" s="535" t="s">
        <v>1361</v>
      </c>
      <c r="I112" s="536" t="s">
        <v>1362</v>
      </c>
      <c r="K112" s="229" t="s">
        <v>451</v>
      </c>
      <c r="L112" s="230" t="s">
        <v>533</v>
      </c>
      <c r="M112" s="231" t="s">
        <v>452</v>
      </c>
      <c r="O112" s="206"/>
      <c r="P112" s="173" t="s">
        <v>582</v>
      </c>
    </row>
    <row r="113" spans="1:16" ht="20.100000000000001" customHeight="1" thickBot="1">
      <c r="A113" s="335" t="s">
        <v>76</v>
      </c>
      <c r="B113" s="280" t="s">
        <v>71</v>
      </c>
      <c r="C113" s="255" t="s">
        <v>957</v>
      </c>
      <c r="D113" s="19"/>
      <c r="E113" s="515" t="s">
        <v>957</v>
      </c>
      <c r="F113" s="516" t="s">
        <v>76</v>
      </c>
      <c r="G113" s="517" t="s">
        <v>71</v>
      </c>
      <c r="H113" s="518" t="s">
        <v>1363</v>
      </c>
      <c r="I113" s="519" t="s">
        <v>1364</v>
      </c>
      <c r="K113" s="229" t="s">
        <v>453</v>
      </c>
      <c r="L113" s="230" t="s">
        <v>534</v>
      </c>
      <c r="M113" s="231" t="s">
        <v>454</v>
      </c>
      <c r="O113" s="206"/>
      <c r="P113" s="174" t="s">
        <v>583</v>
      </c>
    </row>
    <row r="114" spans="1:16" ht="20.100000000000001" customHeight="1">
      <c r="A114" s="333" t="s">
        <v>77</v>
      </c>
      <c r="B114" s="283" t="s">
        <v>71</v>
      </c>
      <c r="C114" s="248" t="s">
        <v>957</v>
      </c>
      <c r="D114" s="19"/>
      <c r="E114" s="530" t="s">
        <v>957</v>
      </c>
      <c r="F114" s="531" t="s">
        <v>77</v>
      </c>
      <c r="G114" s="532" t="s">
        <v>71</v>
      </c>
      <c r="H114" s="533" t="s">
        <v>1365</v>
      </c>
      <c r="I114" s="534" t="s">
        <v>1366</v>
      </c>
      <c r="K114" s="214" t="s">
        <v>455</v>
      </c>
      <c r="L114" s="215" t="s">
        <v>535</v>
      </c>
      <c r="M114" s="216" t="s">
        <v>456</v>
      </c>
      <c r="O114" s="206"/>
      <c r="P114" s="175" t="s">
        <v>584</v>
      </c>
    </row>
    <row r="115" spans="1:16" ht="20.100000000000001" customHeight="1">
      <c r="A115" s="333" t="s">
        <v>937</v>
      </c>
      <c r="B115" s="283" t="s">
        <v>71</v>
      </c>
      <c r="C115" s="248" t="s">
        <v>957</v>
      </c>
      <c r="D115" s="19"/>
      <c r="E115" s="530" t="s">
        <v>957</v>
      </c>
      <c r="F115" s="531" t="s">
        <v>937</v>
      </c>
      <c r="G115" s="532" t="s">
        <v>71</v>
      </c>
      <c r="H115" s="533" t="s">
        <v>1367</v>
      </c>
      <c r="I115" s="534" t="s">
        <v>1368</v>
      </c>
      <c r="K115" s="217" t="s">
        <v>457</v>
      </c>
      <c r="L115" s="218" t="s">
        <v>536</v>
      </c>
      <c r="M115" s="219" t="s">
        <v>903</v>
      </c>
      <c r="O115" s="206" t="s">
        <v>656</v>
      </c>
      <c r="P115" s="176" t="s">
        <v>720</v>
      </c>
    </row>
    <row r="116" spans="1:16" ht="20.100000000000001" customHeight="1">
      <c r="A116" s="333" t="s">
        <v>938</v>
      </c>
      <c r="B116" s="283" t="s">
        <v>71</v>
      </c>
      <c r="C116" s="248" t="s">
        <v>957</v>
      </c>
      <c r="D116" s="19"/>
      <c r="E116" s="530" t="s">
        <v>957</v>
      </c>
      <c r="F116" s="531" t="s">
        <v>938</v>
      </c>
      <c r="G116" s="532" t="s">
        <v>71</v>
      </c>
      <c r="H116" s="533" t="s">
        <v>1369</v>
      </c>
      <c r="I116" s="534" t="s">
        <v>1370</v>
      </c>
      <c r="K116" s="217" t="s">
        <v>458</v>
      </c>
      <c r="L116" s="218" t="s">
        <v>536</v>
      </c>
      <c r="M116" s="219" t="s">
        <v>904</v>
      </c>
      <c r="O116" s="206" t="s">
        <v>657</v>
      </c>
      <c r="P116" s="176" t="s">
        <v>1004</v>
      </c>
    </row>
    <row r="117" spans="1:16" ht="20.100000000000001" customHeight="1" thickBot="1">
      <c r="A117" s="163" t="s">
        <v>172</v>
      </c>
      <c r="B117" s="283" t="s">
        <v>71</v>
      </c>
      <c r="C117" s="248" t="s">
        <v>957</v>
      </c>
      <c r="D117" s="19"/>
      <c r="E117" s="530" t="s">
        <v>957</v>
      </c>
      <c r="F117" s="531" t="s">
        <v>172</v>
      </c>
      <c r="G117" s="532" t="s">
        <v>71</v>
      </c>
      <c r="H117" s="533" t="s">
        <v>1371</v>
      </c>
      <c r="I117" s="534" t="s">
        <v>1372</v>
      </c>
      <c r="K117" s="220" t="s">
        <v>459</v>
      </c>
      <c r="L117" s="221" t="s">
        <v>536</v>
      </c>
      <c r="M117" s="222" t="s">
        <v>997</v>
      </c>
      <c r="O117" s="206" t="s">
        <v>829</v>
      </c>
      <c r="P117" s="176" t="s">
        <v>159</v>
      </c>
    </row>
    <row r="118" spans="1:16" ht="20.100000000000001" customHeight="1" thickBot="1">
      <c r="A118" s="163" t="s">
        <v>173</v>
      </c>
      <c r="B118" s="283" t="s">
        <v>71</v>
      </c>
      <c r="C118" s="248" t="s">
        <v>957</v>
      </c>
      <c r="D118" s="19"/>
      <c r="E118" s="530" t="s">
        <v>957</v>
      </c>
      <c r="F118" s="531" t="s">
        <v>173</v>
      </c>
      <c r="G118" s="532" t="s">
        <v>71</v>
      </c>
      <c r="H118" s="533" t="s">
        <v>1373</v>
      </c>
      <c r="I118" s="534" t="s">
        <v>1374</v>
      </c>
      <c r="K118" s="233" t="s">
        <v>460</v>
      </c>
      <c r="L118" s="234" t="s">
        <v>537</v>
      </c>
      <c r="M118" s="235" t="s">
        <v>461</v>
      </c>
      <c r="O118" s="206"/>
      <c r="P118" s="174" t="s">
        <v>585</v>
      </c>
    </row>
    <row r="119" spans="1:16" ht="20.100000000000001" customHeight="1" thickBot="1">
      <c r="A119" s="162" t="s">
        <v>174</v>
      </c>
      <c r="B119" s="281" t="s">
        <v>71</v>
      </c>
      <c r="C119" s="256" t="s">
        <v>957</v>
      </c>
      <c r="D119" s="19"/>
      <c r="E119" s="520" t="s">
        <v>957</v>
      </c>
      <c r="F119" s="521" t="s">
        <v>174</v>
      </c>
      <c r="G119" s="522" t="s">
        <v>71</v>
      </c>
      <c r="H119" s="523" t="s">
        <v>1375</v>
      </c>
      <c r="I119" s="524" t="s">
        <v>1376</v>
      </c>
      <c r="K119" s="214" t="s">
        <v>462</v>
      </c>
      <c r="L119" s="215" t="s">
        <v>538</v>
      </c>
      <c r="M119" s="216" t="s">
        <v>905</v>
      </c>
      <c r="O119" s="206"/>
      <c r="P119" s="175" t="s">
        <v>586</v>
      </c>
    </row>
    <row r="120" spans="1:16" ht="20.100000000000001" customHeight="1" thickBot="1">
      <c r="A120" s="257" t="s">
        <v>939</v>
      </c>
      <c r="B120" s="284" t="s">
        <v>1648</v>
      </c>
      <c r="C120" s="258" t="s">
        <v>939</v>
      </c>
      <c r="D120" s="19"/>
      <c r="E120" s="525" t="s">
        <v>939</v>
      </c>
      <c r="F120" s="526" t="s">
        <v>939</v>
      </c>
      <c r="G120" s="527" t="s">
        <v>1648</v>
      </c>
      <c r="H120" s="528" t="s">
        <v>1377</v>
      </c>
      <c r="I120" s="529">
        <v>50901</v>
      </c>
      <c r="K120" s="217" t="s">
        <v>463</v>
      </c>
      <c r="L120" s="218" t="s">
        <v>538</v>
      </c>
      <c r="M120" s="219" t="s">
        <v>906</v>
      </c>
      <c r="O120" s="206" t="s">
        <v>658</v>
      </c>
      <c r="P120" s="176" t="s">
        <v>719</v>
      </c>
    </row>
    <row r="121" spans="1:16" ht="20.100000000000001" customHeight="1">
      <c r="A121" s="161" t="s">
        <v>940</v>
      </c>
      <c r="B121" s="280" t="s">
        <v>4</v>
      </c>
      <c r="C121" s="255" t="s">
        <v>940</v>
      </c>
      <c r="D121" s="19"/>
      <c r="E121" s="515" t="s">
        <v>940</v>
      </c>
      <c r="F121" s="516" t="s">
        <v>940</v>
      </c>
      <c r="G121" s="517" t="s">
        <v>4</v>
      </c>
      <c r="H121" s="518" t="s">
        <v>1378</v>
      </c>
      <c r="I121" s="519" t="s">
        <v>1379</v>
      </c>
      <c r="K121" s="217" t="s">
        <v>464</v>
      </c>
      <c r="L121" s="218" t="s">
        <v>538</v>
      </c>
      <c r="M121" s="219" t="s">
        <v>907</v>
      </c>
      <c r="O121" s="206"/>
      <c r="P121" s="173" t="s">
        <v>587</v>
      </c>
    </row>
    <row r="122" spans="1:16" ht="20.100000000000001" customHeight="1" thickBot="1">
      <c r="A122" s="162" t="s">
        <v>232</v>
      </c>
      <c r="B122" s="281" t="s">
        <v>4</v>
      </c>
      <c r="C122" s="256" t="s">
        <v>940</v>
      </c>
      <c r="D122" s="19"/>
      <c r="E122" s="520" t="s">
        <v>940</v>
      </c>
      <c r="F122" s="521" t="s">
        <v>232</v>
      </c>
      <c r="G122" s="522" t="s">
        <v>4</v>
      </c>
      <c r="H122" s="523" t="s">
        <v>1380</v>
      </c>
      <c r="I122" s="524" t="s">
        <v>1381</v>
      </c>
      <c r="K122" s="217" t="s">
        <v>465</v>
      </c>
      <c r="L122" s="218" t="s">
        <v>538</v>
      </c>
      <c r="M122" s="219" t="s">
        <v>908</v>
      </c>
      <c r="O122" s="206"/>
      <c r="P122" s="174" t="s">
        <v>588</v>
      </c>
    </row>
    <row r="123" spans="1:16" ht="20.100000000000001" customHeight="1">
      <c r="A123" s="161" t="s">
        <v>222</v>
      </c>
      <c r="B123" s="280" t="s">
        <v>237</v>
      </c>
      <c r="C123" s="255" t="s">
        <v>1022</v>
      </c>
      <c r="D123" s="19"/>
      <c r="E123" s="515" t="s">
        <v>1022</v>
      </c>
      <c r="F123" s="516" t="s">
        <v>222</v>
      </c>
      <c r="G123" s="517" t="s">
        <v>237</v>
      </c>
      <c r="H123" s="518" t="s">
        <v>1382</v>
      </c>
      <c r="I123" s="519" t="s">
        <v>1383</v>
      </c>
      <c r="K123" s="217" t="s">
        <v>466</v>
      </c>
      <c r="L123" s="218" t="s">
        <v>538</v>
      </c>
      <c r="M123" s="219" t="s">
        <v>909</v>
      </c>
      <c r="O123" s="206"/>
      <c r="P123" s="175" t="s">
        <v>589</v>
      </c>
    </row>
    <row r="124" spans="1:16" ht="20.100000000000001" customHeight="1">
      <c r="A124" s="163" t="s">
        <v>856</v>
      </c>
      <c r="B124" s="283" t="s">
        <v>237</v>
      </c>
      <c r="C124" s="248" t="s">
        <v>1022</v>
      </c>
      <c r="D124" s="19"/>
      <c r="E124" s="530" t="s">
        <v>1022</v>
      </c>
      <c r="F124" s="531" t="s">
        <v>856</v>
      </c>
      <c r="G124" s="532" t="s">
        <v>237</v>
      </c>
      <c r="H124" s="533" t="s">
        <v>1384</v>
      </c>
      <c r="I124" s="534" t="s">
        <v>1385</v>
      </c>
      <c r="K124" s="217" t="s">
        <v>467</v>
      </c>
      <c r="L124" s="218" t="s">
        <v>538</v>
      </c>
      <c r="M124" s="219" t="s">
        <v>468</v>
      </c>
      <c r="O124" s="206" t="s">
        <v>830</v>
      </c>
      <c r="P124" s="176" t="s">
        <v>718</v>
      </c>
    </row>
    <row r="125" spans="1:16" ht="20.100000000000001" customHeight="1" thickBot="1">
      <c r="A125" s="163" t="s">
        <v>262</v>
      </c>
      <c r="B125" s="283" t="s">
        <v>237</v>
      </c>
      <c r="C125" s="248" t="s">
        <v>1022</v>
      </c>
      <c r="D125" s="19"/>
      <c r="E125" s="530" t="s">
        <v>1022</v>
      </c>
      <c r="F125" s="531" t="s">
        <v>262</v>
      </c>
      <c r="G125" s="532" t="s">
        <v>237</v>
      </c>
      <c r="H125" s="533" t="s">
        <v>1386</v>
      </c>
      <c r="I125" s="534" t="s">
        <v>1387</v>
      </c>
      <c r="K125" s="220" t="s">
        <v>469</v>
      </c>
      <c r="L125" s="221" t="s">
        <v>538</v>
      </c>
      <c r="M125" s="222" t="s">
        <v>910</v>
      </c>
      <c r="O125" s="206" t="s">
        <v>659</v>
      </c>
      <c r="P125" s="176" t="s">
        <v>717</v>
      </c>
    </row>
    <row r="126" spans="1:16" ht="20.100000000000001" customHeight="1">
      <c r="A126" s="163" t="s">
        <v>1023</v>
      </c>
      <c r="B126" s="283" t="s">
        <v>237</v>
      </c>
      <c r="C126" s="248" t="s">
        <v>1022</v>
      </c>
      <c r="D126" s="19"/>
      <c r="E126" s="530" t="s">
        <v>1022</v>
      </c>
      <c r="F126" s="531" t="s">
        <v>1023</v>
      </c>
      <c r="G126" s="532" t="s">
        <v>237</v>
      </c>
      <c r="H126" s="533" t="s">
        <v>1388</v>
      </c>
      <c r="I126" s="534" t="s">
        <v>1389</v>
      </c>
      <c r="K126" s="214" t="s">
        <v>470</v>
      </c>
      <c r="L126" s="215" t="s">
        <v>539</v>
      </c>
      <c r="M126" s="216" t="s">
        <v>911</v>
      </c>
      <c r="O126" s="206" t="s">
        <v>831</v>
      </c>
      <c r="P126" s="176" t="s">
        <v>716</v>
      </c>
    </row>
    <row r="127" spans="1:16" ht="20.100000000000001" customHeight="1" thickBot="1">
      <c r="A127" s="163" t="s">
        <v>941</v>
      </c>
      <c r="B127" s="283" t="s">
        <v>237</v>
      </c>
      <c r="C127" s="248" t="s">
        <v>1022</v>
      </c>
      <c r="D127" s="19"/>
      <c r="E127" s="530" t="s">
        <v>1022</v>
      </c>
      <c r="F127" s="531" t="s">
        <v>941</v>
      </c>
      <c r="G127" s="532" t="s">
        <v>237</v>
      </c>
      <c r="H127" s="533" t="s">
        <v>1390</v>
      </c>
      <c r="I127" s="534" t="s">
        <v>1391</v>
      </c>
      <c r="K127" s="226" t="s">
        <v>471</v>
      </c>
      <c r="L127" s="227" t="s">
        <v>539</v>
      </c>
      <c r="M127" s="228" t="s">
        <v>912</v>
      </c>
      <c r="O127" s="206" t="s">
        <v>660</v>
      </c>
      <c r="P127" s="176" t="s">
        <v>715</v>
      </c>
    </row>
    <row r="128" spans="1:16" ht="20.100000000000001" customHeight="1">
      <c r="A128" s="163" t="s">
        <v>857</v>
      </c>
      <c r="B128" s="283" t="s">
        <v>237</v>
      </c>
      <c r="C128" s="248" t="s">
        <v>1022</v>
      </c>
      <c r="D128" s="19"/>
      <c r="E128" s="530" t="s">
        <v>1022</v>
      </c>
      <c r="F128" s="531" t="s">
        <v>857</v>
      </c>
      <c r="G128" s="532" t="s">
        <v>237</v>
      </c>
      <c r="H128" s="533" t="s">
        <v>1392</v>
      </c>
      <c r="I128" s="534" t="s">
        <v>1393</v>
      </c>
      <c r="K128" s="214" t="s">
        <v>472</v>
      </c>
      <c r="L128" s="215" t="s">
        <v>540</v>
      </c>
      <c r="M128" s="216" t="s">
        <v>913</v>
      </c>
      <c r="O128" s="206"/>
      <c r="P128" s="175" t="s">
        <v>590</v>
      </c>
    </row>
    <row r="129" spans="1:17" ht="20.100000000000001" customHeight="1" thickBot="1">
      <c r="A129" s="162" t="s">
        <v>942</v>
      </c>
      <c r="B129" s="281" t="s">
        <v>237</v>
      </c>
      <c r="C129" s="256" t="s">
        <v>1022</v>
      </c>
      <c r="D129" s="19"/>
      <c r="E129" s="520" t="s">
        <v>1022</v>
      </c>
      <c r="F129" s="521" t="s">
        <v>942</v>
      </c>
      <c r="G129" s="522" t="s">
        <v>237</v>
      </c>
      <c r="H129" s="523" t="s">
        <v>1394</v>
      </c>
      <c r="I129" s="524" t="s">
        <v>1395</v>
      </c>
      <c r="K129" s="217" t="s">
        <v>473</v>
      </c>
      <c r="L129" s="218" t="s">
        <v>540</v>
      </c>
      <c r="M129" s="219" t="s">
        <v>914</v>
      </c>
      <c r="O129" s="206" t="s">
        <v>661</v>
      </c>
      <c r="P129" s="176" t="s">
        <v>714</v>
      </c>
      <c r="Q129" s="508" t="s">
        <v>1064</v>
      </c>
    </row>
    <row r="130" spans="1:17" ht="20.100000000000001" customHeight="1" thickBot="1">
      <c r="A130" s="161" t="s">
        <v>1138</v>
      </c>
      <c r="B130" s="280" t="s">
        <v>1039</v>
      </c>
      <c r="C130" s="255" t="s">
        <v>1024</v>
      </c>
      <c r="D130" s="19"/>
      <c r="E130" s="515" t="s">
        <v>1024</v>
      </c>
      <c r="F130" s="516" t="s">
        <v>1138</v>
      </c>
      <c r="G130" s="517" t="s">
        <v>1039</v>
      </c>
      <c r="H130" s="518" t="s">
        <v>1396</v>
      </c>
      <c r="I130" s="519" t="s">
        <v>1397</v>
      </c>
      <c r="K130" s="220" t="s">
        <v>474</v>
      </c>
      <c r="L130" s="221" t="s">
        <v>540</v>
      </c>
      <c r="M130" s="222" t="s">
        <v>915</v>
      </c>
      <c r="O130" s="206" t="s">
        <v>662</v>
      </c>
      <c r="P130" s="176" t="s">
        <v>713</v>
      </c>
    </row>
    <row r="131" spans="1:17" ht="20.100000000000001" customHeight="1" thickBot="1">
      <c r="A131" s="163" t="s">
        <v>1025</v>
      </c>
      <c r="B131" s="283" t="s">
        <v>1039</v>
      </c>
      <c r="C131" s="248" t="s">
        <v>1024</v>
      </c>
      <c r="D131" s="19"/>
      <c r="E131" s="530" t="s">
        <v>1024</v>
      </c>
      <c r="F131" s="531" t="s">
        <v>1025</v>
      </c>
      <c r="G131" s="532" t="s">
        <v>1039</v>
      </c>
      <c r="H131" s="533" t="s">
        <v>1398</v>
      </c>
      <c r="I131" s="534" t="s">
        <v>1399</v>
      </c>
      <c r="K131" s="229" t="s">
        <v>475</v>
      </c>
      <c r="L131" s="230" t="s">
        <v>541</v>
      </c>
      <c r="M131" s="231" t="s">
        <v>476</v>
      </c>
      <c r="O131" s="206" t="s">
        <v>663</v>
      </c>
      <c r="P131" s="176" t="s">
        <v>832</v>
      </c>
    </row>
    <row r="132" spans="1:17" ht="20.100000000000001" customHeight="1">
      <c r="A132" s="163" t="s">
        <v>1139</v>
      </c>
      <c r="B132" s="283" t="s">
        <v>1039</v>
      </c>
      <c r="C132" s="248" t="s">
        <v>1024</v>
      </c>
      <c r="D132" s="19"/>
      <c r="E132" s="530" t="s">
        <v>1024</v>
      </c>
      <c r="F132" s="531" t="s">
        <v>1139</v>
      </c>
      <c r="G132" s="532" t="s">
        <v>1039</v>
      </c>
      <c r="H132" s="533" t="s">
        <v>1400</v>
      </c>
      <c r="I132" s="534" t="s">
        <v>1401</v>
      </c>
      <c r="K132" s="214" t="s">
        <v>477</v>
      </c>
      <c r="L132" s="215" t="s">
        <v>542</v>
      </c>
      <c r="M132" s="216" t="s">
        <v>998</v>
      </c>
      <c r="O132" s="206"/>
      <c r="P132" s="175" t="s">
        <v>591</v>
      </c>
    </row>
    <row r="133" spans="1:17" ht="20.100000000000001" customHeight="1" thickBot="1">
      <c r="A133" s="162" t="s">
        <v>1140</v>
      </c>
      <c r="B133" s="281" t="s">
        <v>1039</v>
      </c>
      <c r="C133" s="256" t="s">
        <v>1024</v>
      </c>
      <c r="D133" s="19"/>
      <c r="E133" s="520" t="s">
        <v>1024</v>
      </c>
      <c r="F133" s="521" t="s">
        <v>1140</v>
      </c>
      <c r="G133" s="522" t="s">
        <v>1039</v>
      </c>
      <c r="H133" s="523" t="s">
        <v>1402</v>
      </c>
      <c r="I133" s="524" t="s">
        <v>1403</v>
      </c>
      <c r="K133" s="220" t="s">
        <v>478</v>
      </c>
      <c r="L133" s="221" t="s">
        <v>542</v>
      </c>
      <c r="M133" s="222" t="s">
        <v>999</v>
      </c>
      <c r="O133" s="206" t="s">
        <v>664</v>
      </c>
      <c r="P133" s="176" t="s">
        <v>712</v>
      </c>
    </row>
    <row r="134" spans="1:17" ht="20.100000000000001" customHeight="1" thickBot="1">
      <c r="A134" s="161" t="s">
        <v>1029</v>
      </c>
      <c r="B134" s="280" t="s">
        <v>1039</v>
      </c>
      <c r="C134" s="255" t="s">
        <v>1026</v>
      </c>
      <c r="D134" s="19"/>
      <c r="E134" s="236" t="s">
        <v>1026</v>
      </c>
      <c r="F134" s="239" t="s">
        <v>1029</v>
      </c>
      <c r="G134" s="517" t="s">
        <v>1039</v>
      </c>
      <c r="H134" s="518" t="s">
        <v>1404</v>
      </c>
      <c r="I134" s="538" t="s">
        <v>1405</v>
      </c>
      <c r="K134" s="229" t="s">
        <v>479</v>
      </c>
      <c r="L134" s="230" t="s">
        <v>543</v>
      </c>
      <c r="M134" s="231" t="s">
        <v>480</v>
      </c>
      <c r="O134" s="206"/>
      <c r="P134" s="174" t="s">
        <v>592</v>
      </c>
    </row>
    <row r="135" spans="1:17" ht="20.100000000000001" customHeight="1">
      <c r="A135" s="163" t="s">
        <v>1027</v>
      </c>
      <c r="B135" s="283" t="s">
        <v>1039</v>
      </c>
      <c r="C135" s="248" t="s">
        <v>1026</v>
      </c>
      <c r="D135" s="19"/>
      <c r="E135" s="237" t="s">
        <v>1026</v>
      </c>
      <c r="F135" s="241" t="s">
        <v>1027</v>
      </c>
      <c r="G135" s="532" t="s">
        <v>1039</v>
      </c>
      <c r="H135" s="533" t="s">
        <v>1406</v>
      </c>
      <c r="I135" s="539" t="s">
        <v>1407</v>
      </c>
      <c r="K135" s="214" t="s">
        <v>481</v>
      </c>
      <c r="L135" s="215" t="s">
        <v>544</v>
      </c>
      <c r="M135" s="216" t="s">
        <v>916</v>
      </c>
      <c r="O135" s="206"/>
      <c r="P135" s="175" t="s">
        <v>593</v>
      </c>
    </row>
    <row r="136" spans="1:17" ht="20.100000000000001" customHeight="1" thickBot="1">
      <c r="A136" s="252" t="s">
        <v>1028</v>
      </c>
      <c r="B136" s="279" t="s">
        <v>1039</v>
      </c>
      <c r="C136" s="253" t="s">
        <v>1026</v>
      </c>
      <c r="D136" s="19"/>
      <c r="E136" s="238" t="s">
        <v>1026</v>
      </c>
      <c r="F136" s="243" t="s">
        <v>1028</v>
      </c>
      <c r="G136" s="522" t="s">
        <v>1039</v>
      </c>
      <c r="H136" s="523" t="s">
        <v>1408</v>
      </c>
      <c r="I136" s="537" t="s">
        <v>1409</v>
      </c>
      <c r="K136" s="217" t="s">
        <v>482</v>
      </c>
      <c r="L136" s="218" t="s">
        <v>544</v>
      </c>
      <c r="M136" s="219" t="s">
        <v>917</v>
      </c>
      <c r="O136" s="206" t="s">
        <v>665</v>
      </c>
      <c r="P136" s="176" t="s">
        <v>833</v>
      </c>
    </row>
    <row r="137" spans="1:17" ht="20.100000000000001" customHeight="1">
      <c r="A137" s="262" t="s">
        <v>943</v>
      </c>
      <c r="B137" s="280" t="s">
        <v>104</v>
      </c>
      <c r="C137" s="167" t="s">
        <v>958</v>
      </c>
      <c r="D137" s="19"/>
      <c r="E137" s="515" t="s">
        <v>958</v>
      </c>
      <c r="F137" s="516" t="s">
        <v>943</v>
      </c>
      <c r="G137" s="517" t="s">
        <v>104</v>
      </c>
      <c r="H137" s="518" t="s">
        <v>1410</v>
      </c>
      <c r="I137" s="519" t="s">
        <v>1411</v>
      </c>
      <c r="K137" s="217" t="s">
        <v>483</v>
      </c>
      <c r="L137" s="218" t="s">
        <v>544</v>
      </c>
      <c r="M137" s="219" t="s">
        <v>918</v>
      </c>
      <c r="O137" s="206"/>
      <c r="P137" s="173" t="s">
        <v>594</v>
      </c>
    </row>
    <row r="138" spans="1:17" ht="20.100000000000001" customHeight="1" thickBot="1">
      <c r="A138" s="163" t="s">
        <v>1030</v>
      </c>
      <c r="B138" s="283" t="s">
        <v>104</v>
      </c>
      <c r="C138" s="248" t="s">
        <v>958</v>
      </c>
      <c r="D138" s="19"/>
      <c r="E138" s="530" t="s">
        <v>958</v>
      </c>
      <c r="F138" s="531" t="s">
        <v>1030</v>
      </c>
      <c r="G138" s="532" t="s">
        <v>104</v>
      </c>
      <c r="H138" s="533" t="s">
        <v>1412</v>
      </c>
      <c r="I138" s="534" t="s">
        <v>1413</v>
      </c>
      <c r="K138" s="226" t="s">
        <v>484</v>
      </c>
      <c r="L138" s="227" t="s">
        <v>544</v>
      </c>
      <c r="M138" s="228" t="s">
        <v>919</v>
      </c>
      <c r="O138" s="206"/>
      <c r="P138" s="174" t="s">
        <v>595</v>
      </c>
    </row>
    <row r="139" spans="1:17" ht="20.100000000000001" customHeight="1">
      <c r="A139" s="163" t="s">
        <v>944</v>
      </c>
      <c r="B139" s="283" t="s">
        <v>104</v>
      </c>
      <c r="C139" s="248" t="s">
        <v>958</v>
      </c>
      <c r="D139" s="19"/>
      <c r="E139" s="530" t="s">
        <v>958</v>
      </c>
      <c r="F139" s="531" t="s">
        <v>944</v>
      </c>
      <c r="G139" s="532" t="s">
        <v>104</v>
      </c>
      <c r="H139" s="533" t="s">
        <v>1414</v>
      </c>
      <c r="I139" s="534" t="s">
        <v>1415</v>
      </c>
      <c r="K139" s="214" t="s">
        <v>485</v>
      </c>
      <c r="L139" s="215" t="s">
        <v>545</v>
      </c>
      <c r="M139" s="216" t="s">
        <v>486</v>
      </c>
      <c r="O139" s="206"/>
      <c r="P139" s="175" t="s">
        <v>596</v>
      </c>
    </row>
    <row r="140" spans="1:17" ht="20.100000000000001" customHeight="1">
      <c r="A140" s="163" t="s">
        <v>1031</v>
      </c>
      <c r="B140" s="283" t="s">
        <v>104</v>
      </c>
      <c r="C140" s="248" t="s">
        <v>958</v>
      </c>
      <c r="D140" s="19"/>
      <c r="E140" s="530" t="s">
        <v>958</v>
      </c>
      <c r="F140" s="531" t="s">
        <v>1031</v>
      </c>
      <c r="G140" s="532" t="s">
        <v>104</v>
      </c>
      <c r="H140" s="533" t="s">
        <v>1416</v>
      </c>
      <c r="I140" s="534" t="s">
        <v>1417</v>
      </c>
      <c r="K140" s="217" t="s">
        <v>487</v>
      </c>
      <c r="L140" s="218" t="s">
        <v>545</v>
      </c>
      <c r="M140" s="219" t="s">
        <v>488</v>
      </c>
      <c r="O140" s="206" t="s">
        <v>666</v>
      </c>
      <c r="P140" s="176" t="s">
        <v>834</v>
      </c>
    </row>
    <row r="141" spans="1:17" ht="20.100000000000001" customHeight="1" thickBot="1">
      <c r="A141" s="163" t="s">
        <v>1032</v>
      </c>
      <c r="B141" s="283" t="s">
        <v>104</v>
      </c>
      <c r="C141" s="248" t="s">
        <v>958</v>
      </c>
      <c r="D141" s="19"/>
      <c r="E141" s="237" t="s">
        <v>958</v>
      </c>
      <c r="F141" s="241" t="s">
        <v>1032</v>
      </c>
      <c r="G141" s="532" t="s">
        <v>104</v>
      </c>
      <c r="H141" s="533" t="s">
        <v>1418</v>
      </c>
      <c r="I141" s="539" t="s">
        <v>1419</v>
      </c>
      <c r="K141" s="220" t="s">
        <v>489</v>
      </c>
      <c r="L141" s="221" t="s">
        <v>545</v>
      </c>
      <c r="M141" s="222" t="s">
        <v>490</v>
      </c>
      <c r="O141" s="206" t="s">
        <v>1665</v>
      </c>
      <c r="P141" s="176" t="s">
        <v>1667</v>
      </c>
    </row>
    <row r="142" spans="1:17" ht="20.100000000000001" customHeight="1">
      <c r="A142" s="163" t="s">
        <v>1033</v>
      </c>
      <c r="B142" s="283" t="s">
        <v>104</v>
      </c>
      <c r="C142" s="248" t="s">
        <v>958</v>
      </c>
      <c r="D142" s="19"/>
      <c r="E142" s="530" t="s">
        <v>958</v>
      </c>
      <c r="F142" s="531" t="s">
        <v>1033</v>
      </c>
      <c r="G142" s="532" t="s">
        <v>104</v>
      </c>
      <c r="H142" s="533" t="s">
        <v>1420</v>
      </c>
      <c r="I142" s="534" t="s">
        <v>1421</v>
      </c>
      <c r="K142" s="214" t="s">
        <v>491</v>
      </c>
      <c r="L142" s="215" t="s">
        <v>145</v>
      </c>
      <c r="M142" s="216" t="s">
        <v>492</v>
      </c>
      <c r="O142" s="206" t="s">
        <v>1666</v>
      </c>
      <c r="P142" s="176" t="s">
        <v>1668</v>
      </c>
    </row>
    <row r="143" spans="1:17" ht="20.100000000000001" customHeight="1">
      <c r="A143" s="163" t="s">
        <v>106</v>
      </c>
      <c r="B143" s="283" t="s">
        <v>104</v>
      </c>
      <c r="C143" s="248" t="s">
        <v>958</v>
      </c>
      <c r="D143" s="19"/>
      <c r="E143" s="530" t="s">
        <v>958</v>
      </c>
      <c r="F143" s="531" t="s">
        <v>106</v>
      </c>
      <c r="G143" s="532" t="s">
        <v>104</v>
      </c>
      <c r="H143" s="533" t="s">
        <v>1422</v>
      </c>
      <c r="I143" s="534" t="s">
        <v>1423</v>
      </c>
      <c r="K143" s="217" t="s">
        <v>493</v>
      </c>
      <c r="L143" s="218" t="s">
        <v>145</v>
      </c>
      <c r="M143" s="219" t="s">
        <v>494</v>
      </c>
      <c r="O143" s="206"/>
      <c r="P143" s="175" t="s">
        <v>597</v>
      </c>
    </row>
    <row r="144" spans="1:17" ht="20.100000000000001" customHeight="1" thickBot="1">
      <c r="A144" s="163" t="s">
        <v>945</v>
      </c>
      <c r="B144" s="283" t="s">
        <v>71</v>
      </c>
      <c r="C144" s="248" t="s">
        <v>958</v>
      </c>
      <c r="D144" s="19"/>
      <c r="E144" s="530" t="s">
        <v>958</v>
      </c>
      <c r="F144" s="531" t="s">
        <v>945</v>
      </c>
      <c r="G144" s="532" t="s">
        <v>71</v>
      </c>
      <c r="H144" s="533" t="s">
        <v>1424</v>
      </c>
      <c r="I144" s="534" t="s">
        <v>1425</v>
      </c>
      <c r="K144" s="220" t="s">
        <v>495</v>
      </c>
      <c r="L144" s="221" t="s">
        <v>145</v>
      </c>
      <c r="M144" s="222" t="s">
        <v>496</v>
      </c>
      <c r="O144" s="206" t="s">
        <v>667</v>
      </c>
      <c r="P144" s="176" t="s">
        <v>711</v>
      </c>
    </row>
    <row r="145" spans="1:16" ht="20.100000000000001" customHeight="1">
      <c r="A145" s="163" t="s">
        <v>946</v>
      </c>
      <c r="B145" s="283" t="s">
        <v>104</v>
      </c>
      <c r="C145" s="248" t="s">
        <v>958</v>
      </c>
      <c r="D145" s="19"/>
      <c r="E145" s="530" t="s">
        <v>958</v>
      </c>
      <c r="F145" s="531" t="s">
        <v>946</v>
      </c>
      <c r="G145" s="532" t="s">
        <v>104</v>
      </c>
      <c r="H145" s="533" t="s">
        <v>1426</v>
      </c>
      <c r="I145" s="534" t="s">
        <v>1427</v>
      </c>
      <c r="K145" s="214" t="s">
        <v>497</v>
      </c>
      <c r="L145" s="215" t="s">
        <v>546</v>
      </c>
      <c r="M145" s="216" t="s">
        <v>920</v>
      </c>
      <c r="O145" s="206" t="s">
        <v>668</v>
      </c>
      <c r="P145" s="176" t="s">
        <v>710</v>
      </c>
    </row>
    <row r="146" spans="1:16" ht="20.100000000000001" customHeight="1" thickBot="1">
      <c r="A146" s="162" t="s">
        <v>78</v>
      </c>
      <c r="B146" s="281" t="s">
        <v>71</v>
      </c>
      <c r="C146" s="256" t="s">
        <v>958</v>
      </c>
      <c r="D146" s="19"/>
      <c r="E146" s="520" t="s">
        <v>958</v>
      </c>
      <c r="F146" s="521" t="s">
        <v>78</v>
      </c>
      <c r="G146" s="522" t="s">
        <v>71</v>
      </c>
      <c r="H146" s="523" t="s">
        <v>1428</v>
      </c>
      <c r="I146" s="524" t="s">
        <v>1429</v>
      </c>
      <c r="K146" s="217" t="s">
        <v>498</v>
      </c>
      <c r="L146" s="218" t="s">
        <v>546</v>
      </c>
      <c r="M146" s="219" t="s">
        <v>921</v>
      </c>
      <c r="O146" s="206" t="s">
        <v>669</v>
      </c>
      <c r="P146" s="176" t="s">
        <v>709</v>
      </c>
    </row>
    <row r="147" spans="1:16" ht="20.100000000000001" customHeight="1">
      <c r="A147" s="161" t="s">
        <v>947</v>
      </c>
      <c r="B147" s="280" t="s">
        <v>1039</v>
      </c>
      <c r="C147" s="255" t="s">
        <v>959</v>
      </c>
      <c r="D147" s="19"/>
      <c r="E147" s="515" t="s">
        <v>959</v>
      </c>
      <c r="F147" s="516" t="s">
        <v>947</v>
      </c>
      <c r="G147" s="517" t="s">
        <v>1039</v>
      </c>
      <c r="H147" s="518" t="s">
        <v>1430</v>
      </c>
      <c r="I147" s="519" t="s">
        <v>1431</v>
      </c>
      <c r="K147" s="217" t="s">
        <v>499</v>
      </c>
      <c r="L147" s="218" t="s">
        <v>546</v>
      </c>
      <c r="M147" s="219" t="s">
        <v>922</v>
      </c>
      <c r="O147" s="206"/>
      <c r="P147" s="175" t="s">
        <v>598</v>
      </c>
    </row>
    <row r="148" spans="1:16" ht="20.100000000000001" customHeight="1" thickBot="1">
      <c r="A148" s="163" t="s">
        <v>948</v>
      </c>
      <c r="B148" s="283" t="s">
        <v>1039</v>
      </c>
      <c r="C148" s="248" t="s">
        <v>959</v>
      </c>
      <c r="D148" s="19"/>
      <c r="E148" s="530" t="s">
        <v>959</v>
      </c>
      <c r="F148" s="531" t="s">
        <v>948</v>
      </c>
      <c r="G148" s="532" t="s">
        <v>1039</v>
      </c>
      <c r="H148" s="533" t="s">
        <v>1432</v>
      </c>
      <c r="I148" s="534" t="s">
        <v>1433</v>
      </c>
      <c r="K148" s="220" t="s">
        <v>500</v>
      </c>
      <c r="L148" s="221" t="s">
        <v>546</v>
      </c>
      <c r="M148" s="222" t="s">
        <v>501</v>
      </c>
      <c r="O148" s="206" t="s">
        <v>670</v>
      </c>
      <c r="P148" s="176" t="s">
        <v>708</v>
      </c>
    </row>
    <row r="149" spans="1:16" ht="20.100000000000001" customHeight="1">
      <c r="A149" s="163" t="s">
        <v>949</v>
      </c>
      <c r="B149" s="283" t="s">
        <v>1039</v>
      </c>
      <c r="C149" s="248" t="s">
        <v>959</v>
      </c>
      <c r="D149" s="19"/>
      <c r="E149" s="530" t="s">
        <v>959</v>
      </c>
      <c r="F149" s="531" t="s">
        <v>949</v>
      </c>
      <c r="G149" s="532" t="s">
        <v>1039</v>
      </c>
      <c r="H149" s="533" t="s">
        <v>1434</v>
      </c>
      <c r="I149" s="534" t="s">
        <v>1435</v>
      </c>
      <c r="O149" s="206" t="s">
        <v>835</v>
      </c>
      <c r="P149" s="176" t="s">
        <v>707</v>
      </c>
    </row>
    <row r="150" spans="1:16" ht="20.100000000000001" customHeight="1">
      <c r="A150" s="163" t="s">
        <v>950</v>
      </c>
      <c r="B150" s="283" t="s">
        <v>1039</v>
      </c>
      <c r="C150" s="248" t="s">
        <v>959</v>
      </c>
      <c r="D150" s="19"/>
      <c r="E150" s="530" t="s">
        <v>959</v>
      </c>
      <c r="F150" s="531" t="s">
        <v>950</v>
      </c>
      <c r="G150" s="532" t="s">
        <v>1039</v>
      </c>
      <c r="H150" s="533" t="s">
        <v>1436</v>
      </c>
      <c r="I150" s="534" t="s">
        <v>1437</v>
      </c>
      <c r="O150" s="206" t="s">
        <v>671</v>
      </c>
      <c r="P150" s="176" t="s">
        <v>706</v>
      </c>
    </row>
    <row r="151" spans="1:16" ht="20.100000000000001" customHeight="1" thickBot="1">
      <c r="A151" s="162" t="s">
        <v>951</v>
      </c>
      <c r="B151" s="281" t="s">
        <v>1039</v>
      </c>
      <c r="C151" s="256" t="s">
        <v>959</v>
      </c>
      <c r="D151" s="19"/>
      <c r="E151" s="520" t="s">
        <v>959</v>
      </c>
      <c r="F151" s="521" t="s">
        <v>951</v>
      </c>
      <c r="G151" s="522" t="s">
        <v>1039</v>
      </c>
      <c r="H151" s="523" t="s">
        <v>1438</v>
      </c>
      <c r="I151" s="524" t="s">
        <v>1439</v>
      </c>
      <c r="O151" s="206" t="s">
        <v>836</v>
      </c>
      <c r="P151" s="176" t="s">
        <v>705</v>
      </c>
    </row>
    <row r="152" spans="1:16" ht="20.100000000000001" customHeight="1">
      <c r="A152" s="161" t="s">
        <v>1034</v>
      </c>
      <c r="B152" s="280" t="s">
        <v>237</v>
      </c>
      <c r="C152" s="255" t="s">
        <v>1035</v>
      </c>
      <c r="D152" s="19"/>
      <c r="E152" s="540" t="s">
        <v>1035</v>
      </c>
      <c r="F152" s="541" t="s">
        <v>1034</v>
      </c>
      <c r="G152" s="542" t="s">
        <v>237</v>
      </c>
      <c r="H152" s="518" t="s">
        <v>1440</v>
      </c>
      <c r="I152" s="519" t="s">
        <v>1441</v>
      </c>
      <c r="O152" s="206"/>
      <c r="P152" s="175" t="s">
        <v>599</v>
      </c>
    </row>
    <row r="153" spans="1:16" ht="20.100000000000001" customHeight="1">
      <c r="A153" s="163" t="s">
        <v>953</v>
      </c>
      <c r="B153" s="283" t="s">
        <v>237</v>
      </c>
      <c r="C153" s="248" t="s">
        <v>1035</v>
      </c>
      <c r="D153" s="19"/>
      <c r="E153" s="530" t="s">
        <v>1035</v>
      </c>
      <c r="F153" s="531" t="s">
        <v>953</v>
      </c>
      <c r="G153" s="532" t="s">
        <v>237</v>
      </c>
      <c r="H153" s="533" t="s">
        <v>1442</v>
      </c>
      <c r="I153" s="534" t="s">
        <v>1443</v>
      </c>
      <c r="O153" s="206" t="s">
        <v>672</v>
      </c>
      <c r="P153" s="176" t="s">
        <v>704</v>
      </c>
    </row>
    <row r="154" spans="1:16" ht="20.100000000000001" customHeight="1">
      <c r="A154" s="163" t="s">
        <v>954</v>
      </c>
      <c r="B154" s="283" t="s">
        <v>237</v>
      </c>
      <c r="C154" s="248" t="s">
        <v>1035</v>
      </c>
      <c r="D154" s="19"/>
      <c r="E154" s="530" t="s">
        <v>1035</v>
      </c>
      <c r="F154" s="531" t="s">
        <v>954</v>
      </c>
      <c r="G154" s="532" t="s">
        <v>237</v>
      </c>
      <c r="H154" s="533" t="s">
        <v>1444</v>
      </c>
      <c r="I154" s="534" t="s">
        <v>1445</v>
      </c>
      <c r="O154" s="206"/>
      <c r="P154" s="175" t="s">
        <v>837</v>
      </c>
    </row>
    <row r="155" spans="1:16" ht="20.100000000000001" customHeight="1" thickBot="1">
      <c r="A155" s="252" t="s">
        <v>208</v>
      </c>
      <c r="B155" s="279" t="s">
        <v>237</v>
      </c>
      <c r="C155" s="253" t="s">
        <v>1035</v>
      </c>
      <c r="D155" s="19"/>
      <c r="E155" s="520" t="s">
        <v>1035</v>
      </c>
      <c r="F155" s="521" t="s">
        <v>208</v>
      </c>
      <c r="G155" s="522" t="s">
        <v>237</v>
      </c>
      <c r="H155" s="523" t="s">
        <v>1446</v>
      </c>
      <c r="I155" s="524" t="s">
        <v>1447</v>
      </c>
      <c r="O155" s="206" t="s">
        <v>838</v>
      </c>
      <c r="P155" s="176" t="s">
        <v>839</v>
      </c>
    </row>
    <row r="156" spans="1:16" ht="20.100000000000001" customHeight="1">
      <c r="A156" s="161" t="s">
        <v>28</v>
      </c>
      <c r="B156" s="280" t="s">
        <v>22</v>
      </c>
      <c r="C156" s="255" t="s">
        <v>197</v>
      </c>
      <c r="D156" s="19"/>
      <c r="E156" s="515" t="s">
        <v>197</v>
      </c>
      <c r="F156" s="516" t="s">
        <v>28</v>
      </c>
      <c r="G156" s="517" t="s">
        <v>22</v>
      </c>
      <c r="H156" s="518" t="s">
        <v>1448</v>
      </c>
      <c r="I156" s="519" t="s">
        <v>1449</v>
      </c>
      <c r="O156" s="206" t="s">
        <v>840</v>
      </c>
      <c r="P156" s="176" t="s">
        <v>841</v>
      </c>
    </row>
    <row r="157" spans="1:16" ht="20.100000000000001" customHeight="1">
      <c r="A157" s="163" t="s">
        <v>1036</v>
      </c>
      <c r="B157" s="283" t="s">
        <v>22</v>
      </c>
      <c r="C157" s="248" t="s">
        <v>197</v>
      </c>
      <c r="D157" s="19"/>
      <c r="E157" s="530" t="s">
        <v>197</v>
      </c>
      <c r="F157" s="531" t="s">
        <v>1036</v>
      </c>
      <c r="G157" s="532" t="s">
        <v>22</v>
      </c>
      <c r="H157" s="533" t="s">
        <v>1450</v>
      </c>
      <c r="I157" s="534" t="s">
        <v>1451</v>
      </c>
      <c r="O157" s="206"/>
      <c r="P157" s="174" t="s">
        <v>600</v>
      </c>
    </row>
    <row r="158" spans="1:16" ht="20.100000000000001" customHeight="1">
      <c r="A158" s="249" t="s">
        <v>233</v>
      </c>
      <c r="B158" s="283" t="s">
        <v>22</v>
      </c>
      <c r="C158" s="248" t="s">
        <v>197</v>
      </c>
      <c r="D158" s="19"/>
      <c r="E158" s="530" t="s">
        <v>197</v>
      </c>
      <c r="F158" s="531" t="s">
        <v>233</v>
      </c>
      <c r="G158" s="532" t="s">
        <v>22</v>
      </c>
      <c r="H158" s="533" t="s">
        <v>1452</v>
      </c>
      <c r="I158" s="534" t="s">
        <v>1453</v>
      </c>
      <c r="O158" s="206"/>
      <c r="P158" s="175" t="s">
        <v>601</v>
      </c>
    </row>
    <row r="159" spans="1:16" ht="20.100000000000001" customHeight="1">
      <c r="A159" s="249" t="s">
        <v>234</v>
      </c>
      <c r="B159" s="283" t="s">
        <v>22</v>
      </c>
      <c r="C159" s="248" t="s">
        <v>197</v>
      </c>
      <c r="D159" s="19"/>
      <c r="E159" s="530" t="s">
        <v>197</v>
      </c>
      <c r="F159" s="531" t="s">
        <v>234</v>
      </c>
      <c r="G159" s="532" t="s">
        <v>22</v>
      </c>
      <c r="H159" s="533" t="s">
        <v>1454</v>
      </c>
      <c r="I159" s="534" t="s">
        <v>1455</v>
      </c>
      <c r="O159" s="206" t="s">
        <v>673</v>
      </c>
      <c r="P159" s="176" t="s">
        <v>703</v>
      </c>
    </row>
    <row r="160" spans="1:16" ht="20.100000000000001" customHeight="1">
      <c r="A160" s="249" t="s">
        <v>859</v>
      </c>
      <c r="B160" s="283" t="s">
        <v>22</v>
      </c>
      <c r="C160" s="248" t="s">
        <v>197</v>
      </c>
      <c r="D160" s="19"/>
      <c r="E160" s="530" t="s">
        <v>197</v>
      </c>
      <c r="F160" s="531" t="s">
        <v>859</v>
      </c>
      <c r="G160" s="532" t="s">
        <v>22</v>
      </c>
      <c r="H160" s="533" t="s">
        <v>1456</v>
      </c>
      <c r="I160" s="534" t="s">
        <v>1457</v>
      </c>
      <c r="O160" s="206" t="s">
        <v>674</v>
      </c>
      <c r="P160" s="176" t="s">
        <v>702</v>
      </c>
    </row>
    <row r="161" spans="1:17" ht="20.100000000000001" customHeight="1">
      <c r="A161" s="249" t="s">
        <v>955</v>
      </c>
      <c r="B161" s="283" t="s">
        <v>22</v>
      </c>
      <c r="C161" s="248" t="s">
        <v>197</v>
      </c>
      <c r="D161" s="19"/>
      <c r="E161" s="530" t="s">
        <v>197</v>
      </c>
      <c r="F161" s="241" t="s">
        <v>955</v>
      </c>
      <c r="G161" s="532" t="s">
        <v>22</v>
      </c>
      <c r="H161" s="533" t="s">
        <v>1458</v>
      </c>
      <c r="I161" s="534" t="s">
        <v>1459</v>
      </c>
      <c r="O161" s="206" t="s">
        <v>675</v>
      </c>
      <c r="P161" s="176" t="s">
        <v>701</v>
      </c>
    </row>
    <row r="162" spans="1:17" ht="20.100000000000001" customHeight="1">
      <c r="A162" s="163" t="s">
        <v>860</v>
      </c>
      <c r="B162" s="283" t="s">
        <v>22</v>
      </c>
      <c r="C162" s="248" t="s">
        <v>197</v>
      </c>
      <c r="D162" s="19"/>
      <c r="E162" s="530" t="s">
        <v>197</v>
      </c>
      <c r="F162" s="241" t="s">
        <v>860</v>
      </c>
      <c r="G162" s="532" t="s">
        <v>22</v>
      </c>
      <c r="H162" s="533" t="s">
        <v>1460</v>
      </c>
      <c r="I162" s="534" t="s">
        <v>1461</v>
      </c>
      <c r="O162" s="206" t="s">
        <v>842</v>
      </c>
      <c r="P162" s="176" t="s">
        <v>700</v>
      </c>
    </row>
    <row r="163" spans="1:17" ht="20.100000000000001" customHeight="1">
      <c r="A163" s="163" t="s">
        <v>861</v>
      </c>
      <c r="B163" s="283" t="s">
        <v>22</v>
      </c>
      <c r="C163" s="248" t="s">
        <v>197</v>
      </c>
      <c r="D163" s="28"/>
      <c r="E163" s="530" t="s">
        <v>197</v>
      </c>
      <c r="F163" s="241" t="s">
        <v>861</v>
      </c>
      <c r="G163" s="532" t="s">
        <v>22</v>
      </c>
      <c r="H163" s="533" t="s">
        <v>1462</v>
      </c>
      <c r="I163" s="534" t="s">
        <v>1463</v>
      </c>
      <c r="O163" s="206" t="s">
        <v>676</v>
      </c>
      <c r="P163" s="176" t="s">
        <v>843</v>
      </c>
    </row>
    <row r="164" spans="1:17" ht="20.100000000000001" customHeight="1" thickBot="1">
      <c r="A164" s="162" t="s">
        <v>862</v>
      </c>
      <c r="B164" s="281" t="s">
        <v>22</v>
      </c>
      <c r="C164" s="256" t="s">
        <v>197</v>
      </c>
      <c r="D164" s="28"/>
      <c r="E164" s="543" t="s">
        <v>197</v>
      </c>
      <c r="F164" s="544" t="s">
        <v>862</v>
      </c>
      <c r="G164" s="545" t="s">
        <v>22</v>
      </c>
      <c r="H164" s="523" t="s">
        <v>1464</v>
      </c>
      <c r="I164" s="524" t="s">
        <v>1465</v>
      </c>
      <c r="O164" s="206"/>
      <c r="P164" s="175" t="s">
        <v>602</v>
      </c>
    </row>
    <row r="165" spans="1:17" ht="20.100000000000001" customHeight="1">
      <c r="A165" s="161" t="s">
        <v>1141</v>
      </c>
      <c r="B165" s="280" t="s">
        <v>22</v>
      </c>
      <c r="C165" s="255" t="s">
        <v>197</v>
      </c>
      <c r="D165" s="28"/>
      <c r="E165" s="515" t="s">
        <v>197</v>
      </c>
      <c r="F165" s="516" t="s">
        <v>1141</v>
      </c>
      <c r="G165" s="517" t="s">
        <v>22</v>
      </c>
      <c r="H165" s="518" t="s">
        <v>1466</v>
      </c>
      <c r="I165" s="519" t="s">
        <v>1467</v>
      </c>
      <c r="O165" s="206" t="s">
        <v>844</v>
      </c>
      <c r="P165" s="176" t="s">
        <v>699</v>
      </c>
    </row>
    <row r="166" spans="1:17" ht="20.100000000000001" customHeight="1">
      <c r="A166" s="249" t="s">
        <v>863</v>
      </c>
      <c r="B166" s="283" t="s">
        <v>22</v>
      </c>
      <c r="C166" s="248" t="s">
        <v>197</v>
      </c>
      <c r="D166" s="19"/>
      <c r="E166" s="530" t="s">
        <v>197</v>
      </c>
      <c r="F166" s="531" t="s">
        <v>863</v>
      </c>
      <c r="G166" s="532" t="s">
        <v>22</v>
      </c>
      <c r="H166" s="533" t="s">
        <v>1468</v>
      </c>
      <c r="I166" s="534" t="s">
        <v>1469</v>
      </c>
      <c r="O166" s="206" t="s">
        <v>677</v>
      </c>
      <c r="P166" s="176" t="s">
        <v>845</v>
      </c>
      <c r="Q166" s="508" t="s">
        <v>776</v>
      </c>
    </row>
    <row r="167" spans="1:17" ht="20.100000000000001" customHeight="1">
      <c r="A167" s="163" t="s">
        <v>30</v>
      </c>
      <c r="B167" s="283" t="s">
        <v>22</v>
      </c>
      <c r="C167" s="248" t="s">
        <v>197</v>
      </c>
      <c r="D167" s="19"/>
      <c r="E167" s="530" t="s">
        <v>197</v>
      </c>
      <c r="F167" s="531" t="s">
        <v>30</v>
      </c>
      <c r="G167" s="532" t="s">
        <v>22</v>
      </c>
      <c r="H167" s="533" t="s">
        <v>1470</v>
      </c>
      <c r="I167" s="534" t="s">
        <v>1471</v>
      </c>
      <c r="O167" s="206" t="s">
        <v>846</v>
      </c>
      <c r="P167" s="176" t="s">
        <v>698</v>
      </c>
    </row>
    <row r="168" spans="1:17" ht="20.100000000000001" customHeight="1" thickBot="1">
      <c r="A168" s="162" t="s">
        <v>265</v>
      </c>
      <c r="B168" s="281" t="s">
        <v>22</v>
      </c>
      <c r="C168" s="256" t="s">
        <v>197</v>
      </c>
      <c r="D168" s="19"/>
      <c r="E168" s="520" t="s">
        <v>197</v>
      </c>
      <c r="F168" s="521" t="s">
        <v>265</v>
      </c>
      <c r="G168" s="522" t="s">
        <v>22</v>
      </c>
      <c r="H168" s="523" t="s">
        <v>1472</v>
      </c>
      <c r="I168" s="524" t="s">
        <v>1473</v>
      </c>
      <c r="O168" s="207" t="s">
        <v>678</v>
      </c>
      <c r="P168" s="178" t="s">
        <v>697</v>
      </c>
    </row>
    <row r="169" spans="1:17" ht="20.100000000000001" customHeight="1">
      <c r="A169" s="161" t="s">
        <v>266</v>
      </c>
      <c r="B169" s="280" t="s">
        <v>22</v>
      </c>
      <c r="C169" s="255" t="s">
        <v>197</v>
      </c>
      <c r="D169" s="19"/>
      <c r="E169" s="515" t="s">
        <v>197</v>
      </c>
      <c r="F169" s="239" t="s">
        <v>266</v>
      </c>
      <c r="G169" s="517" t="s">
        <v>22</v>
      </c>
      <c r="H169" s="518" t="s">
        <v>1474</v>
      </c>
      <c r="I169" s="519" t="s">
        <v>1475</v>
      </c>
    </row>
    <row r="170" spans="1:17" ht="20.100000000000001" customHeight="1">
      <c r="A170" s="163" t="s">
        <v>1037</v>
      </c>
      <c r="B170" s="283" t="s">
        <v>22</v>
      </c>
      <c r="C170" s="248" t="s">
        <v>197</v>
      </c>
      <c r="D170" s="19"/>
      <c r="E170" s="530" t="s">
        <v>197</v>
      </c>
      <c r="F170" s="531" t="s">
        <v>1037</v>
      </c>
      <c r="G170" s="532" t="s">
        <v>22</v>
      </c>
      <c r="H170" s="533" t="s">
        <v>1476</v>
      </c>
      <c r="I170" s="534" t="s">
        <v>1477</v>
      </c>
    </row>
    <row r="171" spans="1:17" ht="20.100000000000001" customHeight="1" thickBot="1">
      <c r="A171" s="162" t="s">
        <v>1142</v>
      </c>
      <c r="B171" s="281" t="s">
        <v>22</v>
      </c>
      <c r="C171" s="256" t="s">
        <v>197</v>
      </c>
      <c r="D171" s="19"/>
      <c r="E171" s="543" t="s">
        <v>197</v>
      </c>
      <c r="F171" s="546" t="s">
        <v>1142</v>
      </c>
      <c r="G171" s="545" t="s">
        <v>22</v>
      </c>
      <c r="H171" s="523" t="s">
        <v>1478</v>
      </c>
      <c r="I171" s="524" t="s">
        <v>1479</v>
      </c>
    </row>
    <row r="172" spans="1:17" ht="20.100000000000001" customHeight="1" thickBot="1">
      <c r="A172" s="257" t="s">
        <v>167</v>
      </c>
      <c r="B172" s="284" t="s">
        <v>22</v>
      </c>
      <c r="C172" s="258" t="s">
        <v>197</v>
      </c>
      <c r="D172" s="19"/>
      <c r="E172" s="525" t="s">
        <v>197</v>
      </c>
      <c r="F172" s="526" t="s">
        <v>167</v>
      </c>
      <c r="G172" s="527" t="s">
        <v>22</v>
      </c>
      <c r="H172" s="547" t="s">
        <v>1480</v>
      </c>
      <c r="I172" s="548" t="s">
        <v>1481</v>
      </c>
    </row>
    <row r="173" spans="1:17" ht="20.100000000000001" customHeight="1" thickBot="1">
      <c r="A173" s="257" t="s">
        <v>168</v>
      </c>
      <c r="B173" s="284" t="s">
        <v>22</v>
      </c>
      <c r="C173" s="258" t="s">
        <v>197</v>
      </c>
      <c r="D173" s="19"/>
      <c r="E173" s="525" t="s">
        <v>197</v>
      </c>
      <c r="F173" s="526" t="s">
        <v>168</v>
      </c>
      <c r="G173" s="527" t="s">
        <v>22</v>
      </c>
      <c r="H173" s="528" t="s">
        <v>1482</v>
      </c>
      <c r="I173" s="529" t="s">
        <v>1483</v>
      </c>
    </row>
    <row r="174" spans="1:17" ht="20.100000000000001" customHeight="1" thickBot="1">
      <c r="A174" s="257" t="s">
        <v>169</v>
      </c>
      <c r="B174" s="284" t="s">
        <v>22</v>
      </c>
      <c r="C174" s="258" t="s">
        <v>197</v>
      </c>
      <c r="D174" s="19"/>
      <c r="E174" s="525" t="s">
        <v>197</v>
      </c>
      <c r="F174" s="526" t="s">
        <v>169</v>
      </c>
      <c r="G174" s="527" t="s">
        <v>22</v>
      </c>
      <c r="H174" s="528" t="s">
        <v>1484</v>
      </c>
      <c r="I174" s="529" t="s">
        <v>1485</v>
      </c>
    </row>
    <row r="175" spans="1:17" ht="20.100000000000001" customHeight="1">
      <c r="A175" s="161" t="s">
        <v>31</v>
      </c>
      <c r="B175" s="280" t="s">
        <v>22</v>
      </c>
      <c r="C175" s="255" t="s">
        <v>197</v>
      </c>
      <c r="D175" s="19"/>
      <c r="E175" s="515" t="s">
        <v>197</v>
      </c>
      <c r="F175" s="516" t="s">
        <v>31</v>
      </c>
      <c r="G175" s="517" t="s">
        <v>22</v>
      </c>
      <c r="H175" s="518" t="s">
        <v>1486</v>
      </c>
      <c r="I175" s="519" t="s">
        <v>1487</v>
      </c>
    </row>
    <row r="176" spans="1:17" ht="20.100000000000001" customHeight="1">
      <c r="A176" s="163" t="s">
        <v>235</v>
      </c>
      <c r="B176" s="283" t="s">
        <v>22</v>
      </c>
      <c r="C176" s="248" t="s">
        <v>197</v>
      </c>
      <c r="D176" s="19"/>
      <c r="E176" s="530" t="s">
        <v>197</v>
      </c>
      <c r="F176" s="531" t="s">
        <v>235</v>
      </c>
      <c r="G176" s="532" t="s">
        <v>22</v>
      </c>
      <c r="H176" s="533" t="s">
        <v>1488</v>
      </c>
      <c r="I176" s="534" t="s">
        <v>1489</v>
      </c>
    </row>
    <row r="177" spans="1:9" ht="20.100000000000001" customHeight="1">
      <c r="A177" s="163" t="s">
        <v>32</v>
      </c>
      <c r="B177" s="283" t="s">
        <v>22</v>
      </c>
      <c r="C177" s="248" t="s">
        <v>197</v>
      </c>
      <c r="D177" s="19"/>
      <c r="E177" s="530" t="s">
        <v>197</v>
      </c>
      <c r="F177" s="531" t="s">
        <v>32</v>
      </c>
      <c r="G177" s="532" t="s">
        <v>22</v>
      </c>
      <c r="H177" s="533" t="s">
        <v>1490</v>
      </c>
      <c r="I177" s="534" t="s">
        <v>1491</v>
      </c>
    </row>
    <row r="178" spans="1:9" ht="20.100000000000001" customHeight="1">
      <c r="A178" s="163" t="s">
        <v>33</v>
      </c>
      <c r="B178" s="283" t="s">
        <v>22</v>
      </c>
      <c r="C178" s="248" t="s">
        <v>197</v>
      </c>
      <c r="D178" s="19"/>
      <c r="E178" s="530" t="s">
        <v>197</v>
      </c>
      <c r="F178" s="531" t="s">
        <v>33</v>
      </c>
      <c r="G178" s="532" t="s">
        <v>22</v>
      </c>
      <c r="H178" s="533" t="s">
        <v>1492</v>
      </c>
      <c r="I178" s="534" t="s">
        <v>1493</v>
      </c>
    </row>
    <row r="179" spans="1:9" ht="20.100000000000001" customHeight="1">
      <c r="A179" s="163" t="s">
        <v>34</v>
      </c>
      <c r="B179" s="283" t="s">
        <v>22</v>
      </c>
      <c r="C179" s="248" t="s">
        <v>197</v>
      </c>
      <c r="D179" s="19"/>
      <c r="E179" s="530" t="s">
        <v>197</v>
      </c>
      <c r="F179" s="531" t="s">
        <v>34</v>
      </c>
      <c r="G179" s="532" t="s">
        <v>22</v>
      </c>
      <c r="H179" s="533" t="s">
        <v>1494</v>
      </c>
      <c r="I179" s="534" t="s">
        <v>1495</v>
      </c>
    </row>
    <row r="180" spans="1:9" ht="20.100000000000001" customHeight="1">
      <c r="A180" s="163" t="s">
        <v>35</v>
      </c>
      <c r="B180" s="283" t="s">
        <v>22</v>
      </c>
      <c r="C180" s="248" t="s">
        <v>197</v>
      </c>
      <c r="D180" s="19"/>
      <c r="E180" s="530" t="s">
        <v>197</v>
      </c>
      <c r="F180" s="531" t="s">
        <v>35</v>
      </c>
      <c r="G180" s="532" t="s">
        <v>22</v>
      </c>
      <c r="H180" s="533" t="s">
        <v>1496</v>
      </c>
      <c r="I180" s="534" t="s">
        <v>1497</v>
      </c>
    </row>
    <row r="181" spans="1:9" ht="20.100000000000001" customHeight="1">
      <c r="A181" s="163" t="s">
        <v>36</v>
      </c>
      <c r="B181" s="283" t="s">
        <v>22</v>
      </c>
      <c r="C181" s="248" t="s">
        <v>197</v>
      </c>
      <c r="D181" s="19"/>
      <c r="E181" s="530" t="s">
        <v>197</v>
      </c>
      <c r="F181" s="531" t="s">
        <v>36</v>
      </c>
      <c r="G181" s="532" t="s">
        <v>22</v>
      </c>
      <c r="H181" s="533" t="s">
        <v>1498</v>
      </c>
      <c r="I181" s="534" t="s">
        <v>1499</v>
      </c>
    </row>
    <row r="182" spans="1:9" ht="20.100000000000001" customHeight="1">
      <c r="A182" s="163" t="s">
        <v>37</v>
      </c>
      <c r="B182" s="283" t="s">
        <v>22</v>
      </c>
      <c r="C182" s="248" t="s">
        <v>197</v>
      </c>
      <c r="D182" s="19"/>
      <c r="E182" s="530" t="s">
        <v>197</v>
      </c>
      <c r="F182" s="531" t="s">
        <v>37</v>
      </c>
      <c r="G182" s="532" t="s">
        <v>22</v>
      </c>
      <c r="H182" s="533" t="s">
        <v>1500</v>
      </c>
      <c r="I182" s="534" t="s">
        <v>1501</v>
      </c>
    </row>
    <row r="183" spans="1:9" ht="20.100000000000001" customHeight="1">
      <c r="A183" s="163" t="s">
        <v>1038</v>
      </c>
      <c r="B183" s="283" t="s">
        <v>22</v>
      </c>
      <c r="C183" s="248" t="s">
        <v>197</v>
      </c>
      <c r="D183" s="19"/>
      <c r="E183" s="530" t="s">
        <v>197</v>
      </c>
      <c r="F183" s="531" t="s">
        <v>1038</v>
      </c>
      <c r="G183" s="532" t="s">
        <v>22</v>
      </c>
      <c r="H183" s="533" t="s">
        <v>1502</v>
      </c>
      <c r="I183" s="534" t="s">
        <v>1503</v>
      </c>
    </row>
    <row r="184" spans="1:9" ht="20.100000000000001" customHeight="1">
      <c r="A184" s="163" t="s">
        <v>38</v>
      </c>
      <c r="B184" s="283" t="s">
        <v>22</v>
      </c>
      <c r="C184" s="248" t="s">
        <v>197</v>
      </c>
      <c r="D184" s="19"/>
      <c r="E184" s="530" t="s">
        <v>197</v>
      </c>
      <c r="F184" s="531" t="s">
        <v>38</v>
      </c>
      <c r="G184" s="532" t="s">
        <v>22</v>
      </c>
      <c r="H184" s="533" t="s">
        <v>1504</v>
      </c>
      <c r="I184" s="534" t="s">
        <v>1505</v>
      </c>
    </row>
    <row r="185" spans="1:9" ht="20.100000000000001" customHeight="1">
      <c r="A185" s="163" t="s">
        <v>39</v>
      </c>
      <c r="B185" s="283" t="s">
        <v>22</v>
      </c>
      <c r="C185" s="248" t="s">
        <v>197</v>
      </c>
      <c r="D185" s="19"/>
      <c r="E185" s="530" t="s">
        <v>197</v>
      </c>
      <c r="F185" s="531" t="s">
        <v>39</v>
      </c>
      <c r="G185" s="532" t="s">
        <v>22</v>
      </c>
      <c r="H185" s="533" t="s">
        <v>1506</v>
      </c>
      <c r="I185" s="534" t="s">
        <v>1507</v>
      </c>
    </row>
    <row r="186" spans="1:9" ht="20.100000000000001" customHeight="1">
      <c r="A186" s="163" t="s">
        <v>40</v>
      </c>
      <c r="B186" s="283" t="s">
        <v>22</v>
      </c>
      <c r="C186" s="248" t="s">
        <v>197</v>
      </c>
      <c r="D186" s="19"/>
      <c r="E186" s="530" t="s">
        <v>197</v>
      </c>
      <c r="F186" s="531" t="s">
        <v>40</v>
      </c>
      <c r="G186" s="532" t="s">
        <v>22</v>
      </c>
      <c r="H186" s="533" t="s">
        <v>1508</v>
      </c>
      <c r="I186" s="534" t="s">
        <v>1509</v>
      </c>
    </row>
    <row r="187" spans="1:9" ht="20.100000000000001" customHeight="1">
      <c r="A187" s="163" t="s">
        <v>41</v>
      </c>
      <c r="B187" s="283" t="s">
        <v>22</v>
      </c>
      <c r="C187" s="248" t="s">
        <v>197</v>
      </c>
      <c r="D187" s="19"/>
      <c r="E187" s="530" t="s">
        <v>197</v>
      </c>
      <c r="F187" s="531" t="s">
        <v>41</v>
      </c>
      <c r="G187" s="532" t="s">
        <v>22</v>
      </c>
      <c r="H187" s="533" t="s">
        <v>1510</v>
      </c>
      <c r="I187" s="534" t="s">
        <v>1511</v>
      </c>
    </row>
    <row r="188" spans="1:9" ht="20.100000000000001" customHeight="1">
      <c r="A188" s="163" t="s">
        <v>42</v>
      </c>
      <c r="B188" s="283" t="s">
        <v>22</v>
      </c>
      <c r="C188" s="248" t="s">
        <v>197</v>
      </c>
      <c r="D188" s="19"/>
      <c r="E188" s="530" t="s">
        <v>197</v>
      </c>
      <c r="F188" s="531" t="s">
        <v>42</v>
      </c>
      <c r="G188" s="532" t="s">
        <v>22</v>
      </c>
      <c r="H188" s="533" t="s">
        <v>1512</v>
      </c>
      <c r="I188" s="534" t="s">
        <v>1513</v>
      </c>
    </row>
    <row r="189" spans="1:9" ht="20.100000000000001" customHeight="1">
      <c r="A189" s="163" t="s">
        <v>43</v>
      </c>
      <c r="B189" s="283" t="s">
        <v>22</v>
      </c>
      <c r="C189" s="248" t="s">
        <v>197</v>
      </c>
      <c r="D189" s="19"/>
      <c r="E189" s="530" t="s">
        <v>197</v>
      </c>
      <c r="F189" s="531" t="s">
        <v>43</v>
      </c>
      <c r="G189" s="532" t="s">
        <v>22</v>
      </c>
      <c r="H189" s="533" t="s">
        <v>1514</v>
      </c>
      <c r="I189" s="534" t="s">
        <v>1515</v>
      </c>
    </row>
    <row r="190" spans="1:9" ht="20.100000000000001" customHeight="1">
      <c r="A190" s="163" t="s">
        <v>44</v>
      </c>
      <c r="B190" s="283" t="s">
        <v>22</v>
      </c>
      <c r="C190" s="248" t="s">
        <v>197</v>
      </c>
      <c r="D190" s="19"/>
      <c r="E190" s="530" t="s">
        <v>197</v>
      </c>
      <c r="F190" s="531" t="s">
        <v>44</v>
      </c>
      <c r="G190" s="532" t="s">
        <v>22</v>
      </c>
      <c r="H190" s="533" t="s">
        <v>1516</v>
      </c>
      <c r="I190" s="534" t="s">
        <v>1517</v>
      </c>
    </row>
    <row r="191" spans="1:9" ht="20.100000000000001" customHeight="1">
      <c r="A191" s="163" t="s">
        <v>45</v>
      </c>
      <c r="B191" s="283" t="s">
        <v>22</v>
      </c>
      <c r="C191" s="248" t="s">
        <v>197</v>
      </c>
      <c r="D191" s="19"/>
      <c r="E191" s="530" t="s">
        <v>197</v>
      </c>
      <c r="F191" s="531" t="s">
        <v>45</v>
      </c>
      <c r="G191" s="532" t="s">
        <v>22</v>
      </c>
      <c r="H191" s="533" t="s">
        <v>1518</v>
      </c>
      <c r="I191" s="534" t="s">
        <v>1519</v>
      </c>
    </row>
    <row r="192" spans="1:9" ht="20.100000000000001" customHeight="1">
      <c r="A192" s="163" t="s">
        <v>46</v>
      </c>
      <c r="B192" s="283" t="s">
        <v>22</v>
      </c>
      <c r="C192" s="248" t="s">
        <v>197</v>
      </c>
      <c r="D192" s="19"/>
      <c r="E192" s="530" t="s">
        <v>197</v>
      </c>
      <c r="F192" s="531" t="s">
        <v>46</v>
      </c>
      <c r="G192" s="532" t="s">
        <v>22</v>
      </c>
      <c r="H192" s="533" t="s">
        <v>1520</v>
      </c>
      <c r="I192" s="534" t="s">
        <v>1521</v>
      </c>
    </row>
    <row r="193" spans="1:9" ht="20.100000000000001" customHeight="1">
      <c r="A193" s="163" t="s">
        <v>47</v>
      </c>
      <c r="B193" s="283" t="s">
        <v>22</v>
      </c>
      <c r="C193" s="248" t="s">
        <v>197</v>
      </c>
      <c r="D193" s="19"/>
      <c r="E193" s="530" t="s">
        <v>197</v>
      </c>
      <c r="F193" s="531" t="s">
        <v>47</v>
      </c>
      <c r="G193" s="532" t="s">
        <v>22</v>
      </c>
      <c r="H193" s="533" t="s">
        <v>1522</v>
      </c>
      <c r="I193" s="534" t="s">
        <v>1523</v>
      </c>
    </row>
    <row r="194" spans="1:9" ht="20.100000000000001" customHeight="1">
      <c r="A194" s="163" t="s">
        <v>48</v>
      </c>
      <c r="B194" s="283" t="s">
        <v>22</v>
      </c>
      <c r="C194" s="248" t="s">
        <v>197</v>
      </c>
      <c r="D194" s="19"/>
      <c r="E194" s="530" t="s">
        <v>197</v>
      </c>
      <c r="F194" s="531" t="s">
        <v>48</v>
      </c>
      <c r="G194" s="532" t="s">
        <v>22</v>
      </c>
      <c r="H194" s="533" t="s">
        <v>1524</v>
      </c>
      <c r="I194" s="534" t="s">
        <v>1525</v>
      </c>
    </row>
    <row r="195" spans="1:9" ht="20.100000000000001" customHeight="1">
      <c r="A195" s="163" t="s">
        <v>49</v>
      </c>
      <c r="B195" s="283" t="s">
        <v>22</v>
      </c>
      <c r="C195" s="248" t="s">
        <v>197</v>
      </c>
      <c r="D195" s="19"/>
      <c r="E195" s="530" t="s">
        <v>197</v>
      </c>
      <c r="F195" s="531" t="s">
        <v>49</v>
      </c>
      <c r="G195" s="532" t="s">
        <v>22</v>
      </c>
      <c r="H195" s="533" t="s">
        <v>1526</v>
      </c>
      <c r="I195" s="534" t="s">
        <v>1527</v>
      </c>
    </row>
    <row r="196" spans="1:9" ht="20.100000000000001" customHeight="1">
      <c r="A196" s="163" t="s">
        <v>50</v>
      </c>
      <c r="B196" s="283" t="s">
        <v>22</v>
      </c>
      <c r="C196" s="248" t="s">
        <v>197</v>
      </c>
      <c r="D196" s="19"/>
      <c r="E196" s="530" t="s">
        <v>197</v>
      </c>
      <c r="F196" s="531" t="s">
        <v>50</v>
      </c>
      <c r="G196" s="532" t="s">
        <v>22</v>
      </c>
      <c r="H196" s="533" t="s">
        <v>1528</v>
      </c>
      <c r="I196" s="534" t="s">
        <v>1529</v>
      </c>
    </row>
    <row r="197" spans="1:9" ht="20.100000000000001" customHeight="1">
      <c r="A197" s="163" t="s">
        <v>51</v>
      </c>
      <c r="B197" s="283" t="s">
        <v>22</v>
      </c>
      <c r="C197" s="248" t="s">
        <v>197</v>
      </c>
      <c r="D197" s="19"/>
      <c r="E197" s="530" t="s">
        <v>197</v>
      </c>
      <c r="F197" s="531" t="s">
        <v>51</v>
      </c>
      <c r="G197" s="532" t="s">
        <v>22</v>
      </c>
      <c r="H197" s="533" t="s">
        <v>1530</v>
      </c>
      <c r="I197" s="534" t="s">
        <v>1531</v>
      </c>
    </row>
    <row r="198" spans="1:9" ht="20.100000000000001" customHeight="1">
      <c r="A198" s="163" t="s">
        <v>52</v>
      </c>
      <c r="B198" s="283" t="s">
        <v>22</v>
      </c>
      <c r="C198" s="248" t="s">
        <v>197</v>
      </c>
      <c r="D198" s="19"/>
      <c r="E198" s="530" t="s">
        <v>197</v>
      </c>
      <c r="F198" s="531" t="s">
        <v>52</v>
      </c>
      <c r="G198" s="532" t="s">
        <v>22</v>
      </c>
      <c r="H198" s="533" t="s">
        <v>1532</v>
      </c>
      <c r="I198" s="534" t="s">
        <v>1533</v>
      </c>
    </row>
    <row r="199" spans="1:9" ht="20.100000000000001" customHeight="1">
      <c r="A199" s="163" t="s">
        <v>53</v>
      </c>
      <c r="B199" s="283" t="s">
        <v>22</v>
      </c>
      <c r="C199" s="248" t="s">
        <v>197</v>
      </c>
      <c r="D199" s="19"/>
      <c r="E199" s="530" t="s">
        <v>197</v>
      </c>
      <c r="F199" s="531" t="s">
        <v>53</v>
      </c>
      <c r="G199" s="532" t="s">
        <v>22</v>
      </c>
      <c r="H199" s="533" t="s">
        <v>1534</v>
      </c>
      <c r="I199" s="534" t="s">
        <v>1535</v>
      </c>
    </row>
    <row r="200" spans="1:9" ht="20.100000000000001" customHeight="1">
      <c r="A200" s="163" t="s">
        <v>54</v>
      </c>
      <c r="B200" s="283" t="s">
        <v>22</v>
      </c>
      <c r="C200" s="248" t="s">
        <v>197</v>
      </c>
      <c r="D200" s="19"/>
      <c r="E200" s="530" t="s">
        <v>197</v>
      </c>
      <c r="F200" s="531" t="s">
        <v>54</v>
      </c>
      <c r="G200" s="532" t="s">
        <v>22</v>
      </c>
      <c r="H200" s="533" t="s">
        <v>1536</v>
      </c>
      <c r="I200" s="534" t="s">
        <v>1537</v>
      </c>
    </row>
    <row r="201" spans="1:9" ht="20.100000000000001" customHeight="1">
      <c r="A201" s="163" t="s">
        <v>55</v>
      </c>
      <c r="B201" s="283" t="s">
        <v>22</v>
      </c>
      <c r="C201" s="248" t="s">
        <v>197</v>
      </c>
      <c r="D201" s="19"/>
      <c r="E201" s="530" t="s">
        <v>197</v>
      </c>
      <c r="F201" s="531" t="s">
        <v>55</v>
      </c>
      <c r="G201" s="532" t="s">
        <v>22</v>
      </c>
      <c r="H201" s="533" t="s">
        <v>1538</v>
      </c>
      <c r="I201" s="534" t="s">
        <v>1539</v>
      </c>
    </row>
    <row r="202" spans="1:9" ht="20.100000000000001" customHeight="1">
      <c r="A202" s="163" t="s">
        <v>56</v>
      </c>
      <c r="B202" s="283" t="s">
        <v>22</v>
      </c>
      <c r="C202" s="248" t="s">
        <v>197</v>
      </c>
      <c r="D202" s="19"/>
      <c r="E202" s="530" t="s">
        <v>197</v>
      </c>
      <c r="F202" s="531" t="s">
        <v>56</v>
      </c>
      <c r="G202" s="532" t="s">
        <v>22</v>
      </c>
      <c r="H202" s="533" t="s">
        <v>1540</v>
      </c>
      <c r="I202" s="534" t="s">
        <v>1541</v>
      </c>
    </row>
    <row r="203" spans="1:9" ht="20.100000000000001" customHeight="1">
      <c r="A203" s="163" t="s">
        <v>57</v>
      </c>
      <c r="B203" s="283" t="s">
        <v>22</v>
      </c>
      <c r="C203" s="248" t="s">
        <v>197</v>
      </c>
      <c r="D203" s="19"/>
      <c r="E203" s="530" t="s">
        <v>197</v>
      </c>
      <c r="F203" s="531" t="s">
        <v>57</v>
      </c>
      <c r="G203" s="532" t="s">
        <v>22</v>
      </c>
      <c r="H203" s="533" t="s">
        <v>1542</v>
      </c>
      <c r="I203" s="534" t="s">
        <v>1543</v>
      </c>
    </row>
    <row r="204" spans="1:9" ht="20.100000000000001" customHeight="1">
      <c r="A204" s="163" t="s">
        <v>58</v>
      </c>
      <c r="B204" s="283" t="s">
        <v>22</v>
      </c>
      <c r="C204" s="248" t="s">
        <v>197</v>
      </c>
      <c r="D204" s="19"/>
      <c r="E204" s="530" t="s">
        <v>197</v>
      </c>
      <c r="F204" s="531" t="s">
        <v>58</v>
      </c>
      <c r="G204" s="532" t="s">
        <v>22</v>
      </c>
      <c r="H204" s="533" t="s">
        <v>1544</v>
      </c>
      <c r="I204" s="534" t="s">
        <v>1545</v>
      </c>
    </row>
    <row r="205" spans="1:9" ht="20.100000000000001" customHeight="1">
      <c r="A205" s="333" t="s">
        <v>59</v>
      </c>
      <c r="B205" s="283" t="s">
        <v>22</v>
      </c>
      <c r="C205" s="248" t="s">
        <v>197</v>
      </c>
      <c r="D205" s="19"/>
      <c r="E205" s="530" t="s">
        <v>197</v>
      </c>
      <c r="F205" s="531" t="s">
        <v>59</v>
      </c>
      <c r="G205" s="532" t="s">
        <v>22</v>
      </c>
      <c r="H205" s="533" t="s">
        <v>1546</v>
      </c>
      <c r="I205" s="534" t="s">
        <v>1547</v>
      </c>
    </row>
    <row r="206" spans="1:9" ht="20.100000000000001" customHeight="1">
      <c r="A206" s="163" t="s">
        <v>60</v>
      </c>
      <c r="B206" s="283" t="s">
        <v>22</v>
      </c>
      <c r="C206" s="248" t="s">
        <v>197</v>
      </c>
      <c r="D206" s="19"/>
      <c r="E206" s="530" t="s">
        <v>197</v>
      </c>
      <c r="F206" s="531" t="s">
        <v>60</v>
      </c>
      <c r="G206" s="532" t="s">
        <v>22</v>
      </c>
      <c r="H206" s="533" t="s">
        <v>1548</v>
      </c>
      <c r="I206" s="534" t="s">
        <v>1549</v>
      </c>
    </row>
    <row r="207" spans="1:9" ht="20.100000000000001" customHeight="1">
      <c r="A207" s="163" t="s">
        <v>61</v>
      </c>
      <c r="B207" s="283" t="s">
        <v>22</v>
      </c>
      <c r="C207" s="248" t="s">
        <v>197</v>
      </c>
      <c r="D207" s="19"/>
      <c r="E207" s="530" t="s">
        <v>197</v>
      </c>
      <c r="F207" s="531" t="s">
        <v>61</v>
      </c>
      <c r="G207" s="532" t="s">
        <v>22</v>
      </c>
      <c r="H207" s="533" t="s">
        <v>1550</v>
      </c>
      <c r="I207" s="534" t="s">
        <v>1551</v>
      </c>
    </row>
    <row r="208" spans="1:9" ht="20.100000000000001" customHeight="1">
      <c r="A208" s="163" t="s">
        <v>62</v>
      </c>
      <c r="B208" s="283" t="s">
        <v>22</v>
      </c>
      <c r="C208" s="248" t="s">
        <v>197</v>
      </c>
      <c r="D208" s="19"/>
      <c r="E208" s="530" t="s">
        <v>197</v>
      </c>
      <c r="F208" s="531" t="s">
        <v>62</v>
      </c>
      <c r="G208" s="532" t="s">
        <v>22</v>
      </c>
      <c r="H208" s="533" t="s">
        <v>1552</v>
      </c>
      <c r="I208" s="534" t="s">
        <v>1553</v>
      </c>
    </row>
    <row r="209" spans="1:9" ht="20.100000000000001" customHeight="1">
      <c r="A209" s="163" t="s">
        <v>63</v>
      </c>
      <c r="B209" s="283" t="s">
        <v>22</v>
      </c>
      <c r="C209" s="248" t="s">
        <v>197</v>
      </c>
      <c r="D209" s="19"/>
      <c r="E209" s="530" t="s">
        <v>197</v>
      </c>
      <c r="F209" s="531" t="s">
        <v>63</v>
      </c>
      <c r="G209" s="532" t="s">
        <v>22</v>
      </c>
      <c r="H209" s="533" t="s">
        <v>1554</v>
      </c>
      <c r="I209" s="534" t="s">
        <v>1555</v>
      </c>
    </row>
    <row r="210" spans="1:9" ht="20.100000000000001" customHeight="1" thickBot="1">
      <c r="A210" s="162" t="s">
        <v>64</v>
      </c>
      <c r="B210" s="281" t="s">
        <v>22</v>
      </c>
      <c r="C210" s="256" t="s">
        <v>197</v>
      </c>
      <c r="D210" s="19"/>
      <c r="E210" s="520" t="s">
        <v>197</v>
      </c>
      <c r="F210" s="521" t="s">
        <v>64</v>
      </c>
      <c r="G210" s="522" t="s">
        <v>22</v>
      </c>
      <c r="H210" s="535" t="s">
        <v>1556</v>
      </c>
      <c r="I210" s="536" t="s">
        <v>1557</v>
      </c>
    </row>
    <row r="211" spans="1:9" ht="20.100000000000001" customHeight="1">
      <c r="A211" s="161" t="s">
        <v>21</v>
      </c>
      <c r="B211" s="280" t="s">
        <v>4</v>
      </c>
      <c r="C211" s="255" t="s">
        <v>5</v>
      </c>
      <c r="D211" s="19"/>
      <c r="E211" s="515" t="s">
        <v>5</v>
      </c>
      <c r="F211" s="516" t="s">
        <v>21</v>
      </c>
      <c r="G211" s="517" t="s">
        <v>4</v>
      </c>
      <c r="H211" s="518" t="s">
        <v>1558</v>
      </c>
      <c r="I211" s="519" t="s">
        <v>1559</v>
      </c>
    </row>
    <row r="212" spans="1:9" ht="20.100000000000001" customHeight="1">
      <c r="A212" s="163" t="s">
        <v>25</v>
      </c>
      <c r="B212" s="283" t="s">
        <v>4</v>
      </c>
      <c r="C212" s="248" t="s">
        <v>5</v>
      </c>
      <c r="D212" s="19"/>
      <c r="E212" s="530" t="s">
        <v>5</v>
      </c>
      <c r="F212" s="531" t="s">
        <v>25</v>
      </c>
      <c r="G212" s="532" t="s">
        <v>4</v>
      </c>
      <c r="H212" s="533" t="s">
        <v>1560</v>
      </c>
      <c r="I212" s="534" t="s">
        <v>1561</v>
      </c>
    </row>
    <row r="213" spans="1:9" ht="20.100000000000001" customHeight="1">
      <c r="A213" s="163" t="s">
        <v>1143</v>
      </c>
      <c r="B213" s="283" t="s">
        <v>4</v>
      </c>
      <c r="C213" s="248" t="s">
        <v>5</v>
      </c>
      <c r="D213" s="19"/>
      <c r="E213" s="530" t="s">
        <v>5</v>
      </c>
      <c r="F213" s="531" t="s">
        <v>1143</v>
      </c>
      <c r="G213" s="532" t="s">
        <v>4</v>
      </c>
      <c r="H213" s="533" t="s">
        <v>1562</v>
      </c>
      <c r="I213" s="534" t="s">
        <v>1563</v>
      </c>
    </row>
    <row r="214" spans="1:9" ht="20.100000000000001" customHeight="1">
      <c r="A214" s="163" t="s">
        <v>1144</v>
      </c>
      <c r="B214" s="283" t="s">
        <v>4</v>
      </c>
      <c r="C214" s="248" t="s">
        <v>5</v>
      </c>
      <c r="D214" s="19"/>
      <c r="E214" s="530" t="s">
        <v>5</v>
      </c>
      <c r="F214" s="531" t="s">
        <v>1144</v>
      </c>
      <c r="G214" s="532" t="s">
        <v>4</v>
      </c>
      <c r="H214" s="533" t="s">
        <v>1564</v>
      </c>
      <c r="I214" s="534" t="s">
        <v>1565</v>
      </c>
    </row>
    <row r="215" spans="1:9" ht="20.100000000000001" customHeight="1">
      <c r="A215" s="163" t="s">
        <v>1145</v>
      </c>
      <c r="B215" s="283" t="s">
        <v>4</v>
      </c>
      <c r="C215" s="248" t="s">
        <v>5</v>
      </c>
      <c r="D215" s="19"/>
      <c r="E215" s="530" t="s">
        <v>5</v>
      </c>
      <c r="F215" s="531" t="s">
        <v>1145</v>
      </c>
      <c r="G215" s="532" t="s">
        <v>4</v>
      </c>
      <c r="H215" s="533" t="s">
        <v>1566</v>
      </c>
      <c r="I215" s="534" t="s">
        <v>1567</v>
      </c>
    </row>
    <row r="216" spans="1:9" ht="20.100000000000001" customHeight="1">
      <c r="A216" s="163" t="s">
        <v>1146</v>
      </c>
      <c r="B216" s="283" t="s">
        <v>4</v>
      </c>
      <c r="C216" s="248" t="s">
        <v>5</v>
      </c>
      <c r="D216" s="19"/>
      <c r="E216" s="530" t="s">
        <v>5</v>
      </c>
      <c r="F216" s="531" t="s">
        <v>1146</v>
      </c>
      <c r="G216" s="532" t="s">
        <v>4</v>
      </c>
      <c r="H216" s="533" t="s">
        <v>1568</v>
      </c>
      <c r="I216" s="534" t="s">
        <v>1569</v>
      </c>
    </row>
    <row r="217" spans="1:9" ht="20.100000000000001" customHeight="1">
      <c r="A217" s="163" t="s">
        <v>1147</v>
      </c>
      <c r="B217" s="283" t="s">
        <v>4</v>
      </c>
      <c r="C217" s="248" t="s">
        <v>5</v>
      </c>
      <c r="D217" s="19"/>
      <c r="E217" s="530" t="s">
        <v>5</v>
      </c>
      <c r="F217" s="531" t="s">
        <v>1147</v>
      </c>
      <c r="G217" s="532" t="s">
        <v>4</v>
      </c>
      <c r="H217" s="533" t="s">
        <v>1570</v>
      </c>
      <c r="I217" s="534" t="s">
        <v>1571</v>
      </c>
    </row>
    <row r="218" spans="1:9" ht="20.100000000000001" customHeight="1">
      <c r="A218" s="163" t="s">
        <v>1148</v>
      </c>
      <c r="B218" s="283" t="s">
        <v>4</v>
      </c>
      <c r="C218" s="248" t="s">
        <v>5</v>
      </c>
      <c r="D218" s="19"/>
      <c r="E218" s="530" t="s">
        <v>5</v>
      </c>
      <c r="F218" s="531" t="s">
        <v>1148</v>
      </c>
      <c r="G218" s="532" t="s">
        <v>4</v>
      </c>
      <c r="H218" s="533" t="s">
        <v>1572</v>
      </c>
      <c r="I218" s="534" t="s">
        <v>1573</v>
      </c>
    </row>
    <row r="219" spans="1:9" ht="20.100000000000001" customHeight="1" thickBot="1">
      <c r="A219" s="162" t="s">
        <v>236</v>
      </c>
      <c r="B219" s="281" t="s">
        <v>4</v>
      </c>
      <c r="C219" s="256" t="s">
        <v>5</v>
      </c>
      <c r="D219" s="19"/>
      <c r="E219" s="520" t="s">
        <v>5</v>
      </c>
      <c r="F219" s="521" t="s">
        <v>236</v>
      </c>
      <c r="G219" s="522" t="s">
        <v>4</v>
      </c>
      <c r="H219" s="523" t="s">
        <v>1574</v>
      </c>
      <c r="I219" s="524" t="s">
        <v>1575</v>
      </c>
    </row>
    <row r="220" spans="1:9" ht="20.100000000000001" customHeight="1">
      <c r="A220" s="161" t="s">
        <v>175</v>
      </c>
      <c r="B220" s="280" t="s">
        <v>71</v>
      </c>
      <c r="C220" s="255" t="s">
        <v>1149</v>
      </c>
      <c r="D220" s="19"/>
      <c r="E220" s="515" t="s">
        <v>1149</v>
      </c>
      <c r="F220" s="516" t="s">
        <v>175</v>
      </c>
      <c r="G220" s="517" t="s">
        <v>71</v>
      </c>
      <c r="H220" s="518" t="s">
        <v>1576</v>
      </c>
      <c r="I220" s="519" t="s">
        <v>1577</v>
      </c>
    </row>
    <row r="221" spans="1:9" ht="20.100000000000001" customHeight="1">
      <c r="A221" s="163" t="s">
        <v>79</v>
      </c>
      <c r="B221" s="283" t="s">
        <v>71</v>
      </c>
      <c r="C221" s="248" t="s">
        <v>1149</v>
      </c>
      <c r="D221" s="19"/>
      <c r="E221" s="530" t="s">
        <v>1149</v>
      </c>
      <c r="F221" s="531" t="s">
        <v>79</v>
      </c>
      <c r="G221" s="532" t="s">
        <v>71</v>
      </c>
      <c r="H221" s="533" t="s">
        <v>1578</v>
      </c>
      <c r="I221" s="534" t="s">
        <v>1579</v>
      </c>
    </row>
    <row r="222" spans="1:9" ht="20.100000000000001" customHeight="1">
      <c r="A222" s="163" t="s">
        <v>80</v>
      </c>
      <c r="B222" s="283" t="s">
        <v>71</v>
      </c>
      <c r="C222" s="248" t="s">
        <v>1149</v>
      </c>
      <c r="D222" s="19"/>
      <c r="E222" s="530" t="s">
        <v>1149</v>
      </c>
      <c r="F222" s="531" t="s">
        <v>80</v>
      </c>
      <c r="G222" s="532" t="s">
        <v>71</v>
      </c>
      <c r="H222" s="533" t="s">
        <v>1580</v>
      </c>
      <c r="I222" s="534" t="s">
        <v>1581</v>
      </c>
    </row>
    <row r="223" spans="1:9" ht="20.100000000000001" customHeight="1">
      <c r="A223" s="163" t="s">
        <v>81</v>
      </c>
      <c r="B223" s="283" t="s">
        <v>71</v>
      </c>
      <c r="C223" s="248" t="s">
        <v>1149</v>
      </c>
      <c r="D223" s="19"/>
      <c r="E223" s="530" t="s">
        <v>1149</v>
      </c>
      <c r="F223" s="531" t="s">
        <v>81</v>
      </c>
      <c r="G223" s="532" t="s">
        <v>71</v>
      </c>
      <c r="H223" s="533" t="s">
        <v>1582</v>
      </c>
      <c r="I223" s="534" t="s">
        <v>1583</v>
      </c>
    </row>
    <row r="224" spans="1:9" ht="20.100000000000001" customHeight="1">
      <c r="A224" s="163" t="s">
        <v>864</v>
      </c>
      <c r="B224" s="283" t="s">
        <v>71</v>
      </c>
      <c r="C224" s="248" t="s">
        <v>1149</v>
      </c>
      <c r="D224" s="19"/>
      <c r="E224" s="530" t="s">
        <v>1149</v>
      </c>
      <c r="F224" s="531" t="s">
        <v>864</v>
      </c>
      <c r="G224" s="532" t="s">
        <v>71</v>
      </c>
      <c r="H224" s="533" t="s">
        <v>1584</v>
      </c>
      <c r="I224" s="534" t="s">
        <v>1585</v>
      </c>
    </row>
    <row r="225" spans="1:9" ht="20.100000000000001" customHeight="1">
      <c r="A225" s="163" t="s">
        <v>84</v>
      </c>
      <c r="B225" s="283" t="s">
        <v>71</v>
      </c>
      <c r="C225" s="248" t="s">
        <v>1149</v>
      </c>
      <c r="D225" s="19"/>
      <c r="E225" s="530" t="s">
        <v>1149</v>
      </c>
      <c r="F225" s="531" t="s">
        <v>84</v>
      </c>
      <c r="G225" s="532" t="s">
        <v>71</v>
      </c>
      <c r="H225" s="533" t="s">
        <v>1586</v>
      </c>
      <c r="I225" s="534" t="s">
        <v>1587</v>
      </c>
    </row>
    <row r="226" spans="1:9" ht="20.100000000000001" customHeight="1">
      <c r="A226" s="163" t="s">
        <v>85</v>
      </c>
      <c r="B226" s="283" t="s">
        <v>71</v>
      </c>
      <c r="C226" s="248" t="s">
        <v>1149</v>
      </c>
      <c r="D226" s="19"/>
      <c r="E226" s="530" t="s">
        <v>1149</v>
      </c>
      <c r="F226" s="531" t="s">
        <v>85</v>
      </c>
      <c r="G226" s="532" t="s">
        <v>71</v>
      </c>
      <c r="H226" s="533" t="s">
        <v>1588</v>
      </c>
      <c r="I226" s="534" t="s">
        <v>1589</v>
      </c>
    </row>
    <row r="227" spans="1:9" ht="20.100000000000001" customHeight="1">
      <c r="A227" s="163" t="s">
        <v>176</v>
      </c>
      <c r="B227" s="283" t="s">
        <v>71</v>
      </c>
      <c r="C227" s="248" t="s">
        <v>1149</v>
      </c>
      <c r="D227" s="19"/>
      <c r="E227" s="530" t="s">
        <v>1149</v>
      </c>
      <c r="F227" s="531" t="s">
        <v>176</v>
      </c>
      <c r="G227" s="532" t="s">
        <v>71</v>
      </c>
      <c r="H227" s="533" t="s">
        <v>1590</v>
      </c>
      <c r="I227" s="534" t="s">
        <v>1591</v>
      </c>
    </row>
    <row r="228" spans="1:9" ht="20.100000000000001" customHeight="1">
      <c r="A228" s="164" t="s">
        <v>82</v>
      </c>
      <c r="B228" s="283" t="s">
        <v>71</v>
      </c>
      <c r="C228" s="250" t="s">
        <v>1149</v>
      </c>
      <c r="D228" s="19"/>
      <c r="E228" s="530" t="s">
        <v>1149</v>
      </c>
      <c r="F228" s="531" t="s">
        <v>82</v>
      </c>
      <c r="G228" s="532" t="s">
        <v>71</v>
      </c>
      <c r="H228" s="533" t="s">
        <v>1592</v>
      </c>
      <c r="I228" s="534" t="s">
        <v>1593</v>
      </c>
    </row>
    <row r="229" spans="1:9" ht="20.100000000000001" customHeight="1" thickBot="1">
      <c r="A229" s="263" t="s">
        <v>83</v>
      </c>
      <c r="B229" s="264" t="s">
        <v>71</v>
      </c>
      <c r="C229" s="265" t="s">
        <v>1149</v>
      </c>
      <c r="D229" s="7"/>
      <c r="E229" s="520" t="s">
        <v>1149</v>
      </c>
      <c r="F229" s="521" t="s">
        <v>83</v>
      </c>
      <c r="G229" s="522" t="s">
        <v>71</v>
      </c>
      <c r="H229" s="523" t="s">
        <v>1594</v>
      </c>
      <c r="I229" s="524" t="s">
        <v>1595</v>
      </c>
    </row>
    <row r="230" spans="1:9" ht="20.100000000000001" customHeight="1">
      <c r="A230" s="166" t="s">
        <v>167</v>
      </c>
      <c r="B230" s="170" t="s">
        <v>22</v>
      </c>
      <c r="C230" s="266" t="s">
        <v>1150</v>
      </c>
      <c r="D230" s="7"/>
      <c r="E230" s="515" t="s">
        <v>1150</v>
      </c>
      <c r="F230" s="516" t="s">
        <v>167</v>
      </c>
      <c r="G230" s="517" t="s">
        <v>22</v>
      </c>
      <c r="H230" s="518" t="s">
        <v>1596</v>
      </c>
      <c r="I230" s="519" t="s">
        <v>1597</v>
      </c>
    </row>
    <row r="231" spans="1:9" ht="20.100000000000001" customHeight="1" thickBot="1">
      <c r="A231" s="165" t="s">
        <v>170</v>
      </c>
      <c r="B231" s="171" t="s">
        <v>22</v>
      </c>
      <c r="C231" s="169" t="s">
        <v>1150</v>
      </c>
      <c r="D231" s="7"/>
      <c r="E231" s="520" t="s">
        <v>1150</v>
      </c>
      <c r="F231" s="521" t="s">
        <v>170</v>
      </c>
      <c r="G231" s="522" t="s">
        <v>22</v>
      </c>
      <c r="H231" s="523" t="s">
        <v>1598</v>
      </c>
      <c r="I231" s="524" t="s">
        <v>1599</v>
      </c>
    </row>
    <row r="232" spans="1:9" ht="20.100000000000001" customHeight="1">
      <c r="A232" s="166" t="s">
        <v>1059</v>
      </c>
      <c r="B232" s="170" t="s">
        <v>86</v>
      </c>
      <c r="C232" s="266" t="s">
        <v>1151</v>
      </c>
      <c r="D232" s="7"/>
      <c r="E232" s="549" t="s">
        <v>1151</v>
      </c>
      <c r="F232" s="550" t="s">
        <v>1059</v>
      </c>
      <c r="G232" s="330" t="s">
        <v>86</v>
      </c>
      <c r="H232" s="518" t="s">
        <v>1600</v>
      </c>
      <c r="I232" s="519" t="s">
        <v>1601</v>
      </c>
    </row>
    <row r="233" spans="1:9" ht="20.100000000000001" customHeight="1">
      <c r="A233" s="164" t="s">
        <v>188</v>
      </c>
      <c r="B233" s="91" t="s">
        <v>86</v>
      </c>
      <c r="C233" s="250" t="s">
        <v>1151</v>
      </c>
      <c r="D233" s="7"/>
      <c r="E233" s="551" t="s">
        <v>1151</v>
      </c>
      <c r="F233" s="552" t="s">
        <v>188</v>
      </c>
      <c r="G233" s="331" t="s">
        <v>86</v>
      </c>
      <c r="H233" s="533" t="s">
        <v>1602</v>
      </c>
      <c r="I233" s="534" t="s">
        <v>1603</v>
      </c>
    </row>
    <row r="234" spans="1:9" ht="20.100000000000001" customHeight="1">
      <c r="A234" s="164" t="s">
        <v>189</v>
      </c>
      <c r="B234" s="91" t="s">
        <v>86</v>
      </c>
      <c r="C234" s="250" t="s">
        <v>1151</v>
      </c>
      <c r="D234" s="5"/>
      <c r="E234" s="551" t="s">
        <v>1151</v>
      </c>
      <c r="F234" s="552" t="s">
        <v>189</v>
      </c>
      <c r="G234" s="331" t="s">
        <v>86</v>
      </c>
      <c r="H234" s="533" t="s">
        <v>1604</v>
      </c>
      <c r="I234" s="534" t="s">
        <v>1605</v>
      </c>
    </row>
    <row r="235" spans="1:9" ht="20.100000000000001" customHeight="1">
      <c r="A235" s="164" t="s">
        <v>209</v>
      </c>
      <c r="B235" s="91" t="s">
        <v>86</v>
      </c>
      <c r="C235" s="250" t="s">
        <v>1151</v>
      </c>
      <c r="E235" s="551" t="s">
        <v>1151</v>
      </c>
      <c r="F235" s="552" t="s">
        <v>209</v>
      </c>
      <c r="G235" s="331" t="s">
        <v>86</v>
      </c>
      <c r="H235" s="533" t="s">
        <v>1606</v>
      </c>
      <c r="I235" s="534" t="s">
        <v>1607</v>
      </c>
    </row>
    <row r="236" spans="1:9" ht="20.100000000000001" customHeight="1">
      <c r="A236" s="164" t="s">
        <v>1132</v>
      </c>
      <c r="B236" s="283" t="s">
        <v>104</v>
      </c>
      <c r="C236" s="250" t="s">
        <v>1151</v>
      </c>
      <c r="E236" s="551" t="s">
        <v>1151</v>
      </c>
      <c r="F236" s="552" t="s">
        <v>1132</v>
      </c>
      <c r="G236" s="331" t="s">
        <v>104</v>
      </c>
      <c r="H236" s="533" t="s">
        <v>1608</v>
      </c>
      <c r="I236" s="534" t="s">
        <v>1609</v>
      </c>
    </row>
    <row r="237" spans="1:9" ht="20.100000000000001" customHeight="1">
      <c r="A237" s="164" t="s">
        <v>190</v>
      </c>
      <c r="B237" s="283" t="s">
        <v>104</v>
      </c>
      <c r="C237" s="250" t="s">
        <v>1151</v>
      </c>
      <c r="E237" s="551" t="s">
        <v>1151</v>
      </c>
      <c r="F237" s="552" t="s">
        <v>190</v>
      </c>
      <c r="G237" s="331" t="s">
        <v>104</v>
      </c>
      <c r="H237" s="533" t="s">
        <v>1610</v>
      </c>
      <c r="I237" s="534" t="s">
        <v>1611</v>
      </c>
    </row>
    <row r="238" spans="1:9" ht="20.100000000000001" customHeight="1">
      <c r="A238" s="164" t="s">
        <v>1133</v>
      </c>
      <c r="B238" s="283" t="s">
        <v>104</v>
      </c>
      <c r="C238" s="250" t="s">
        <v>1151</v>
      </c>
      <c r="E238" s="551" t="s">
        <v>1151</v>
      </c>
      <c r="F238" s="552" t="s">
        <v>1133</v>
      </c>
      <c r="G238" s="331" t="s">
        <v>104</v>
      </c>
      <c r="H238" s="533" t="s">
        <v>1612</v>
      </c>
      <c r="I238" s="534" t="s">
        <v>1613</v>
      </c>
    </row>
    <row r="239" spans="1:9" ht="20.100000000000001" customHeight="1" thickBot="1">
      <c r="A239" s="291" t="s">
        <v>91</v>
      </c>
      <c r="B239" s="281" t="s">
        <v>86</v>
      </c>
      <c r="C239" s="169" t="s">
        <v>1151</v>
      </c>
      <c r="E239" s="553" t="s">
        <v>1151</v>
      </c>
      <c r="F239" s="554" t="s">
        <v>91</v>
      </c>
      <c r="G239" s="522" t="s">
        <v>86</v>
      </c>
      <c r="H239" s="523" t="s">
        <v>1614</v>
      </c>
      <c r="I239" s="524" t="s">
        <v>1615</v>
      </c>
    </row>
    <row r="240" spans="1:9" ht="20.100000000000001" customHeight="1">
      <c r="A240" s="166" t="s">
        <v>18</v>
      </c>
      <c r="B240" s="280" t="s">
        <v>237</v>
      </c>
      <c r="C240" s="266" t="s">
        <v>272</v>
      </c>
      <c r="E240" s="549" t="s">
        <v>272</v>
      </c>
      <c r="F240" s="550" t="s">
        <v>18</v>
      </c>
      <c r="G240" s="517" t="s">
        <v>237</v>
      </c>
      <c r="H240" s="518" t="s">
        <v>1616</v>
      </c>
      <c r="I240" s="519" t="s">
        <v>1617</v>
      </c>
    </row>
    <row r="241" spans="1:9" ht="20.100000000000001" customHeight="1">
      <c r="A241" s="164" t="s">
        <v>19</v>
      </c>
      <c r="B241" s="92" t="s">
        <v>237</v>
      </c>
      <c r="C241" s="250" t="s">
        <v>272</v>
      </c>
      <c r="E241" s="551" t="s">
        <v>272</v>
      </c>
      <c r="F241" s="552" t="s">
        <v>19</v>
      </c>
      <c r="G241" s="532" t="s">
        <v>237</v>
      </c>
      <c r="H241" s="533" t="s">
        <v>1618</v>
      </c>
      <c r="I241" s="534" t="s">
        <v>1619</v>
      </c>
    </row>
    <row r="242" spans="1:9" ht="20.100000000000001" customHeight="1" thickBot="1">
      <c r="A242" s="272" t="s">
        <v>20</v>
      </c>
      <c r="B242" s="273" t="s">
        <v>237</v>
      </c>
      <c r="C242" s="274" t="s">
        <v>272</v>
      </c>
      <c r="E242" s="553" t="s">
        <v>272</v>
      </c>
      <c r="F242" s="555" t="s">
        <v>20</v>
      </c>
      <c r="G242" s="522" t="s">
        <v>237</v>
      </c>
      <c r="H242" s="523" t="s">
        <v>1620</v>
      </c>
      <c r="I242" s="524" t="s">
        <v>1621</v>
      </c>
    </row>
    <row r="243" spans="1:9" ht="20.100000000000001" customHeight="1">
      <c r="A243" s="275" t="s">
        <v>178</v>
      </c>
      <c r="B243" s="276" t="s">
        <v>104</v>
      </c>
      <c r="C243" s="277" t="s">
        <v>1152</v>
      </c>
      <c r="E243" s="549" t="s">
        <v>1152</v>
      </c>
      <c r="F243" s="550" t="s">
        <v>178</v>
      </c>
      <c r="G243" s="517" t="s">
        <v>104</v>
      </c>
      <c r="H243" s="518" t="s">
        <v>1622</v>
      </c>
      <c r="I243" s="519" t="s">
        <v>1623</v>
      </c>
    </row>
    <row r="244" spans="1:9" ht="20.100000000000001" customHeight="1">
      <c r="A244" s="251" t="s">
        <v>179</v>
      </c>
      <c r="B244" s="271" t="s">
        <v>104</v>
      </c>
      <c r="C244" s="269" t="s">
        <v>1152</v>
      </c>
      <c r="E244" s="551" t="s">
        <v>1152</v>
      </c>
      <c r="F244" s="552" t="s">
        <v>179</v>
      </c>
      <c r="G244" s="532" t="s">
        <v>104</v>
      </c>
      <c r="H244" s="533" t="s">
        <v>1624</v>
      </c>
      <c r="I244" s="534" t="s">
        <v>1625</v>
      </c>
    </row>
    <row r="245" spans="1:9" ht="20.100000000000001" customHeight="1">
      <c r="A245" s="251" t="s">
        <v>180</v>
      </c>
      <c r="B245" s="271" t="s">
        <v>104</v>
      </c>
      <c r="C245" s="269" t="s">
        <v>1152</v>
      </c>
      <c r="E245" s="551" t="s">
        <v>1152</v>
      </c>
      <c r="F245" s="552" t="s">
        <v>180</v>
      </c>
      <c r="G245" s="532" t="s">
        <v>104</v>
      </c>
      <c r="H245" s="533" t="s">
        <v>1626</v>
      </c>
      <c r="I245" s="534" t="s">
        <v>1627</v>
      </c>
    </row>
    <row r="246" spans="1:9" ht="20.100000000000001" customHeight="1" thickBot="1">
      <c r="A246" s="267" t="s">
        <v>181</v>
      </c>
      <c r="B246" s="270" t="s">
        <v>104</v>
      </c>
      <c r="C246" s="268" t="s">
        <v>1152</v>
      </c>
      <c r="E246" s="553" t="s">
        <v>1152</v>
      </c>
      <c r="F246" s="555" t="s">
        <v>181</v>
      </c>
      <c r="G246" s="556" t="s">
        <v>104</v>
      </c>
      <c r="H246" s="523" t="s">
        <v>1628</v>
      </c>
      <c r="I246" s="537" t="s">
        <v>1629</v>
      </c>
    </row>
    <row r="247" spans="1:9" ht="20.100000000000001" customHeight="1">
      <c r="A247" s="275" t="s">
        <v>99</v>
      </c>
      <c r="B247" s="276" t="s">
        <v>92</v>
      </c>
      <c r="C247" s="277" t="s">
        <v>1153</v>
      </c>
      <c r="E247" s="236" t="s">
        <v>1153</v>
      </c>
      <c r="F247" s="239" t="s">
        <v>99</v>
      </c>
      <c r="G247" s="330" t="s">
        <v>92</v>
      </c>
      <c r="H247" s="518" t="s">
        <v>1630</v>
      </c>
      <c r="I247" s="240" t="s">
        <v>1631</v>
      </c>
    </row>
    <row r="248" spans="1:9" ht="20.100000000000001" customHeight="1">
      <c r="A248" s="251" t="s">
        <v>100</v>
      </c>
      <c r="B248" s="271" t="s">
        <v>92</v>
      </c>
      <c r="C248" s="269" t="s">
        <v>1153</v>
      </c>
      <c r="E248" s="237" t="s">
        <v>1153</v>
      </c>
      <c r="F248" s="241" t="s">
        <v>100</v>
      </c>
      <c r="G248" s="331" t="s">
        <v>92</v>
      </c>
      <c r="H248" s="533" t="s">
        <v>1632</v>
      </c>
      <c r="I248" s="242" t="s">
        <v>1633</v>
      </c>
    </row>
    <row r="249" spans="1:9" ht="20.100000000000001" customHeight="1">
      <c r="A249" s="251" t="s">
        <v>101</v>
      </c>
      <c r="B249" s="271" t="s">
        <v>92</v>
      </c>
      <c r="C249" s="269" t="s">
        <v>1153</v>
      </c>
      <c r="E249" s="237" t="s">
        <v>1153</v>
      </c>
      <c r="F249" s="241" t="s">
        <v>101</v>
      </c>
      <c r="G249" s="331" t="s">
        <v>92</v>
      </c>
      <c r="H249" s="533" t="s">
        <v>1634</v>
      </c>
      <c r="I249" s="242" t="s">
        <v>1635</v>
      </c>
    </row>
    <row r="250" spans="1:9" ht="20.100000000000001" customHeight="1" thickBot="1">
      <c r="A250" s="251" t="s">
        <v>102</v>
      </c>
      <c r="B250" s="271" t="s">
        <v>92</v>
      </c>
      <c r="C250" s="269" t="s">
        <v>1153</v>
      </c>
      <c r="E250" s="237" t="s">
        <v>1153</v>
      </c>
      <c r="F250" s="241" t="s">
        <v>102</v>
      </c>
      <c r="G250" s="331" t="s">
        <v>92</v>
      </c>
      <c r="H250" s="533" t="s">
        <v>1636</v>
      </c>
      <c r="I250" s="242" t="s">
        <v>1637</v>
      </c>
    </row>
    <row r="251" spans="1:9" ht="20.100000000000001" customHeight="1">
      <c r="A251" s="287" t="s">
        <v>866</v>
      </c>
      <c r="B251" s="289" t="s">
        <v>22</v>
      </c>
      <c r="C251" s="288" t="s">
        <v>865</v>
      </c>
      <c r="E251" s="236" t="s">
        <v>865</v>
      </c>
      <c r="F251" s="239" t="s">
        <v>866</v>
      </c>
      <c r="G251" s="330" t="s">
        <v>22</v>
      </c>
      <c r="H251" s="518" t="s">
        <v>1638</v>
      </c>
      <c r="I251" s="240">
        <v>50801</v>
      </c>
    </row>
    <row r="252" spans="1:9" ht="20.100000000000001" customHeight="1" thickBot="1">
      <c r="A252" s="285" t="s">
        <v>867</v>
      </c>
      <c r="B252" s="290" t="s">
        <v>22</v>
      </c>
      <c r="C252" s="286" t="s">
        <v>865</v>
      </c>
      <c r="E252" s="237" t="s">
        <v>865</v>
      </c>
      <c r="F252" s="241" t="s">
        <v>867</v>
      </c>
      <c r="G252" s="331" t="s">
        <v>22</v>
      </c>
      <c r="H252" s="533" t="s">
        <v>1639</v>
      </c>
      <c r="I252" s="242">
        <v>50802</v>
      </c>
    </row>
    <row r="253" spans="1:9" ht="20.100000000000001" customHeight="1">
      <c r="A253" s="287" t="s">
        <v>869</v>
      </c>
      <c r="B253" s="289" t="s">
        <v>22</v>
      </c>
      <c r="C253" s="288" t="s">
        <v>868</v>
      </c>
      <c r="E253" s="237" t="s">
        <v>868</v>
      </c>
      <c r="F253" s="241" t="s">
        <v>869</v>
      </c>
      <c r="G253" s="331" t="s">
        <v>22</v>
      </c>
      <c r="H253" s="533" t="s">
        <v>1640</v>
      </c>
      <c r="I253" s="242">
        <v>50803</v>
      </c>
    </row>
    <row r="254" spans="1:9" ht="20.100000000000001" customHeight="1" thickBot="1">
      <c r="A254" s="285" t="s">
        <v>870</v>
      </c>
      <c r="B254" s="290" t="s">
        <v>22</v>
      </c>
      <c r="C254" s="286" t="s">
        <v>868</v>
      </c>
      <c r="E254" s="238" t="s">
        <v>868</v>
      </c>
      <c r="F254" s="243" t="s">
        <v>870</v>
      </c>
      <c r="G254" s="332" t="s">
        <v>22</v>
      </c>
      <c r="H254" s="523" t="s">
        <v>1641</v>
      </c>
      <c r="I254" s="244">
        <v>50804</v>
      </c>
    </row>
    <row r="255" spans="1:9" ht="20.100000000000001" customHeight="1" thickBot="1">
      <c r="A255" s="257" t="s">
        <v>1061</v>
      </c>
      <c r="B255" s="284" t="s">
        <v>9</v>
      </c>
      <c r="C255" s="258" t="s">
        <v>1061</v>
      </c>
      <c r="E255" s="525" t="s">
        <v>1061</v>
      </c>
      <c r="F255" s="526" t="s">
        <v>1061</v>
      </c>
      <c r="G255" s="527" t="s">
        <v>9</v>
      </c>
      <c r="H255" s="528" t="s">
        <v>1642</v>
      </c>
      <c r="I255" s="529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23</vt:i4>
      </vt:variant>
    </vt:vector>
  </HeadingPairs>
  <TitlesOfParts>
    <vt:vector size="37" baseType="lpstr">
      <vt:lpstr>1. 표지 (상임위)</vt:lpstr>
      <vt:lpstr>1. 총괄표(상임위)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  <vt:lpstr>'6. 계속비사업조서'!Print_Titles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2026-09-08T22:26:07Z</cp:lastPrinted>
  <dcterms:created xsi:type="dcterms:W3CDTF">2015-06-26T00:14:49Z</dcterms:created>
  <dcterms:modified xsi:type="dcterms:W3CDTF">2026-09-08T22:30:36Z</dcterms:modified>
</cp:coreProperties>
</file>